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070" windowHeight="5100" tabRatio="767" activeTab="4"/>
  </bookViews>
  <sheets>
    <sheet name="1. pielikums" sheetId="1" r:id="rId1"/>
    <sheet name="Intensīvās ražošanas dati" sheetId="2" r:id="rId2"/>
    <sheet name="Dati" sheetId="3" r:id="rId3"/>
    <sheet name="2. pielikums" sheetId="4" r:id="rId4"/>
    <sheet name="3. pielikums" sheetId="5" r:id="rId5"/>
    <sheet name="Vaislas dzīvnieku izmaksas" sheetId="6" r:id="rId6"/>
    <sheet name="1.7.1. att" sheetId="7" r:id="rId7"/>
    <sheet name="1.7.2. att" sheetId="8" r:id="rId8"/>
    <sheet name="4.2.1. att." sheetId="9" r:id="rId9"/>
    <sheet name="1.3.1. att." sheetId="10" r:id="rId10"/>
    <sheet name="1.4.1. att." sheetId="11" r:id="rId11"/>
    <sheet name="Sheet1" sheetId="12" r:id="rId12"/>
    <sheet name="Sheet10" sheetId="13" r:id="rId13"/>
    <sheet name="Sheet11" sheetId="14" r:id="rId14"/>
    <sheet name="Sheet12" sheetId="15" r:id="rId15"/>
    <sheet name="Sheet13" sheetId="16" r:id="rId16"/>
  </sheets>
  <externalReferences>
    <externalReference r:id="rId19"/>
  </externalReferences>
  <definedNames>
    <definedName name="AituSk">'2. pielikums'!$B$12</definedName>
    <definedName name="AM">'2. pielikums'!$B$13</definedName>
    <definedName name="Ganīb">'2. pielikums'!$B$9</definedName>
    <definedName name="IepVaisMat">'2. pielikums'!$B$18</definedName>
    <definedName name="IepVMCena">'2. pielikums'!$C$18</definedName>
    <definedName name="Jēri">'2. pielikums'!$B$16</definedName>
    <definedName name="KrDz">'2. pielikums'!$B$17</definedName>
    <definedName name="NDz">'2. pielikums'!$B$15</definedName>
    <definedName name="PastSt">'2. pielikums'!$B$6</definedName>
    <definedName name="Pļavas">'2. pielikums'!$B$10</definedName>
    <definedName name="SezSt">'2. pielikums'!$B$7</definedName>
    <definedName name="SiensAM">'2. pielikums'!$B$48</definedName>
    <definedName name="SpēkbAM">'2. pielikums'!$B$47</definedName>
    <definedName name="VT">'2. pielikums'!$B$14</definedName>
    <definedName name="ZāleAM">'2. pielikums'!$B$46</definedName>
    <definedName name="Zeme">'2. pielikums'!$B$8</definedName>
  </definedNames>
  <calcPr fullCalcOnLoad="1"/>
</workbook>
</file>

<file path=xl/sharedStrings.xml><?xml version="1.0" encoding="utf-8"?>
<sst xmlns="http://schemas.openxmlformats.org/spreadsheetml/2006/main" count="904" uniqueCount="247">
  <si>
    <t>Saimniecības raksturojums</t>
  </si>
  <si>
    <t>Ražošanas izmaksu kalkulācija</t>
  </si>
  <si>
    <t>Rādītājs</t>
  </si>
  <si>
    <t>Daudzums</t>
  </si>
  <si>
    <t>Cena par 1 vienību</t>
  </si>
  <si>
    <t>Izmaksu posteņi</t>
  </si>
  <si>
    <t>Summa, Ls</t>
  </si>
  <si>
    <t>Ls/cnt</t>
  </si>
  <si>
    <t>%</t>
  </si>
  <si>
    <t>Strādājošo skaits saimniecībā</t>
  </si>
  <si>
    <t>X</t>
  </si>
  <si>
    <t>Darba alga</t>
  </si>
  <si>
    <t>t.sk. pastāvīgie strādnieki</t>
  </si>
  <si>
    <t>t.sk. pastāvīgiem strādniekiem</t>
  </si>
  <si>
    <t>sezonas strādnieki</t>
  </si>
  <si>
    <t>sezonas strādniekiem</t>
  </si>
  <si>
    <t>LIZ platība, ha</t>
  </si>
  <si>
    <t>Sociālais nodoklis, %</t>
  </si>
  <si>
    <t>no tās pļavas un ganības, ha</t>
  </si>
  <si>
    <t>Lopbarība, cnt</t>
  </si>
  <si>
    <t>aramzeme, ha</t>
  </si>
  <si>
    <t>t.sk. zāles barība</t>
  </si>
  <si>
    <t>Vidējais aitu skaits saimniecībā:</t>
  </si>
  <si>
    <t>mieži</t>
  </si>
  <si>
    <t>no tām aitu mātes</t>
  </si>
  <si>
    <t>kvieši</t>
  </si>
  <si>
    <t>vaislas teķi</t>
  </si>
  <si>
    <t>auzas</t>
  </si>
  <si>
    <t>remontaitiņas</t>
  </si>
  <si>
    <t>siens</t>
  </si>
  <si>
    <t>remontteķi</t>
  </si>
  <si>
    <t>skābsiens</t>
  </si>
  <si>
    <t>produktīvie dzīvnieki (gaļai)</t>
  </si>
  <si>
    <t>minerālpiedevas</t>
  </si>
  <si>
    <t xml:space="preserve">t.sk. jēri </t>
  </si>
  <si>
    <t>piens</t>
  </si>
  <si>
    <t>Kritušie dzīvnieki</t>
  </si>
  <si>
    <t>pārējās</t>
  </si>
  <si>
    <t>Iepirktais vaislas materiāls</t>
  </si>
  <si>
    <t>Degviela, t</t>
  </si>
  <si>
    <t>Ieņēmumi</t>
  </si>
  <si>
    <t>Elektrība, tūkst kWh</t>
  </si>
  <si>
    <t>Kopā, Ls</t>
  </si>
  <si>
    <t>Saražota gaļa dzīvsvarā, cnt</t>
  </si>
  <si>
    <t>Pakaiši</t>
  </si>
  <si>
    <t>Kautķermeņa iznākums, %</t>
  </si>
  <si>
    <t>Medikamenti</t>
  </si>
  <si>
    <t>Saražotā gaļa, cnt:</t>
  </si>
  <si>
    <t>Tekošais remonts</t>
  </si>
  <si>
    <t>Realizētie šķirnes jēri, cnt</t>
  </si>
  <si>
    <t>Mazvērtīgais inventārs</t>
  </si>
  <si>
    <t>KOPĀ</t>
  </si>
  <si>
    <t>Transports</t>
  </si>
  <si>
    <t>Saražotā un realizētā vilna, cnt</t>
  </si>
  <si>
    <t>Realizētā blakusprodukcija:</t>
  </si>
  <si>
    <t>Amortizācija</t>
  </si>
  <si>
    <t>realizētās asinis, l (kg)</t>
  </si>
  <si>
    <t>Aizņemtais kapitāls (kredīts)</t>
  </si>
  <si>
    <t>realizētās jēlādas, cnt</t>
  </si>
  <si>
    <t>kredīta % likme</t>
  </si>
  <si>
    <t>Kūtsmēsli, t</t>
  </si>
  <si>
    <t>Krišanas zaudējumi</t>
  </si>
  <si>
    <t>Ieņēmumi bez subsīdijām, Ls</t>
  </si>
  <si>
    <t>Realizācijas izdevumi (Ls/dzīvn):</t>
  </si>
  <si>
    <t>Subsīdijas, Ls</t>
  </si>
  <si>
    <t>KOPĀ IEŅĒMUMI, Ls</t>
  </si>
  <si>
    <t>Administratīvās izmaksas</t>
  </si>
  <si>
    <t>Mēneša vidējā darba alga, Ls</t>
  </si>
  <si>
    <t>Peļņa-zaudējumi</t>
  </si>
  <si>
    <t>Rentabilitāte, %</t>
  </si>
  <si>
    <t>Izmaksas kopā, Ls</t>
  </si>
  <si>
    <t>Kurināmais, m3</t>
  </si>
  <si>
    <t>Intensīvai ražošanai nepieciešamie ražošanas līdzekļi, to daudzums un kvalitāte</t>
  </si>
  <si>
    <t>Viena kg dzīvmasas saražošanai nepieciešamais daudzums, kg</t>
  </si>
  <si>
    <t>Nepieciešamā zemes platība 1 cnt lopbarības ražošanai, ha</t>
  </si>
  <si>
    <t>Viena cnt lopbarības ražošanas izmaksas, Ls</t>
  </si>
  <si>
    <t>Viena cnt cena pērkot lopbarību, Ls</t>
  </si>
  <si>
    <t>Piezīmes</t>
  </si>
  <si>
    <t>Intensīvās ražošanas produktivitātes rādītāji</t>
  </si>
  <si>
    <t>Aitu mātei</t>
  </si>
  <si>
    <t>Vaislas teķim</t>
  </si>
  <si>
    <t>Jēram līdz atšķiršanai</t>
  </si>
  <si>
    <t>Nobarojamai jaunaitai</t>
  </si>
  <si>
    <t>Kritērijs</t>
  </si>
  <si>
    <t>Lopbarība</t>
  </si>
  <si>
    <t>Iegūto jēru skaits gadā no vienas aitu mātes</t>
  </si>
  <si>
    <t>zāles barība</t>
  </si>
  <si>
    <t>Gaļas šķirnes teķa cena, Ls/kg</t>
  </si>
  <si>
    <t>Vidējais gaļas šķirnes teķa svars, kg</t>
  </si>
  <si>
    <t>Intensīvās audzēšanas gaļai nepieciešamais laiks, dienās</t>
  </si>
  <si>
    <t>Realizācijas dzīvsvars, kg</t>
  </si>
  <si>
    <t>Gaļas šķirnes aitas kautsvara iznākums, %</t>
  </si>
  <si>
    <t>sakņaugi</t>
  </si>
  <si>
    <t>Aitu skaits uz vienu strādājošo, pielietojot intensīvo metodi, gb.</t>
  </si>
  <si>
    <t>pakaiši</t>
  </si>
  <si>
    <t>medikamenti</t>
  </si>
  <si>
    <t>veterniārie pakalpojumi</t>
  </si>
  <si>
    <t>Optimālais mikroklimats</t>
  </si>
  <si>
    <t>Vidējās vienas stāvietas izmaksas, Ls</t>
  </si>
  <si>
    <t>Vidējās kritērija nodrošinājuma izmaksas uz vienu dzīvnieku, Ls</t>
  </si>
  <si>
    <t>gaisa temperatūra</t>
  </si>
  <si>
    <t>gaisa mitrums</t>
  </si>
  <si>
    <t>nepieciešamais apgaismojums</t>
  </si>
  <si>
    <t>Vidējais elektro enerģijas patēriņš, kWh</t>
  </si>
  <si>
    <t>Kobinētā spēkbarība</t>
  </si>
  <si>
    <t>152 d</t>
  </si>
  <si>
    <t>1 aitai gadā, cnt</t>
  </si>
  <si>
    <t>spēkbarība</t>
  </si>
  <si>
    <t>-</t>
  </si>
  <si>
    <t>Raža Latgalē, cnt/ha</t>
  </si>
  <si>
    <r>
      <t>grīdas platība, m</t>
    </r>
    <r>
      <rPr>
        <i/>
        <vertAlign val="superscript"/>
        <sz val="12"/>
        <rFont val="Times New Roman"/>
        <family val="1"/>
      </rPr>
      <t>2</t>
    </r>
  </si>
  <si>
    <t>10-16g</t>
  </si>
  <si>
    <t>4-6g</t>
  </si>
  <si>
    <t>gaisa kustības ātrums, m/s</t>
  </si>
  <si>
    <t>Intensīvās audzēšanas vaislai nepieciešamais laiks, dienās</t>
  </si>
  <si>
    <t>Vidējais dzīvmasas pieaugums:</t>
  </si>
  <si>
    <t>jēriem 0-152d</t>
  </si>
  <si>
    <t>aitiņām, teķīšiem 0-365d</t>
  </si>
  <si>
    <t>Aitu mātes svars, kg</t>
  </si>
  <si>
    <t>Vaislas teķis, kg</t>
  </si>
  <si>
    <t>1 gadu veca aitiņa, kg</t>
  </si>
  <si>
    <t>1 gadu vecs teķis, kg</t>
  </si>
  <si>
    <t>jērs pie dzimšanas, kg</t>
  </si>
  <si>
    <t>jērs pie atšķiršanas</t>
  </si>
  <si>
    <t>153 - 258 d</t>
  </si>
  <si>
    <t>kombinētā spēkbarība</t>
  </si>
  <si>
    <t>Pakalpojumi, Ls</t>
  </si>
  <si>
    <t>Medikamenti un veterinārie pakalpojumi</t>
  </si>
  <si>
    <t>Nobaro-jamam jēram</t>
  </si>
  <si>
    <t>realizētās jēlādas, gb</t>
  </si>
  <si>
    <t>Vaislas materiāla izmaksas</t>
  </si>
  <si>
    <t>no tās ganības, ha</t>
  </si>
  <si>
    <t xml:space="preserve">pļavas, ha </t>
  </si>
  <si>
    <t>Ēka</t>
  </si>
  <si>
    <t>Ēkas iekārtas</t>
  </si>
  <si>
    <t>Temnika:</t>
  </si>
  <si>
    <t>Traktors MTZ-82</t>
  </si>
  <si>
    <t>rulonu prese PR-1.6</t>
  </si>
  <si>
    <t>pļaujmašīna</t>
  </si>
  <si>
    <t>piekabe</t>
  </si>
  <si>
    <t>minerālmāslu sējmašīna</t>
  </si>
  <si>
    <t>sējmašina SZ-3.6</t>
  </si>
  <si>
    <t>Vienības nosaukums</t>
  </si>
  <si>
    <t>kapacitāte</t>
  </si>
  <si>
    <t>sākotn. vērtība, Ls</t>
  </si>
  <si>
    <t>amortizācija, % gadā</t>
  </si>
  <si>
    <t>amortizāci-ja Ls/ gadā</t>
  </si>
  <si>
    <t>Kopā aitkopībai</t>
  </si>
  <si>
    <t>Peļņa-zaudējumi gaļas ražošanai</t>
  </si>
  <si>
    <t>Rentabilitāte gaļas ražoš., %</t>
  </si>
  <si>
    <t>Kopā ēkas</t>
  </si>
  <si>
    <t>Intensīvās ražošanas tehnoloģijas apraksts</t>
  </si>
  <si>
    <t>Saimniecības ēkas raksturojums</t>
  </si>
  <si>
    <t>Nepieciešamais barības daudzums gadā, t</t>
  </si>
  <si>
    <t>Nepieciešamais barības izmaksas gadā, Ls</t>
  </si>
  <si>
    <t>Lopbarība, t</t>
  </si>
  <si>
    <t xml:space="preserve">jēri </t>
  </si>
  <si>
    <t>ūdens muca</t>
  </si>
  <si>
    <t>ūdens vajadzība aitu mātēm d/n, l</t>
  </si>
  <si>
    <t>ūdens vajadzība teķiem d/n, l</t>
  </si>
  <si>
    <t>ūdens vajadzība nobarojamiem jēriem d/n, l</t>
  </si>
  <si>
    <t>ganību perioda ilgums, d</t>
  </si>
  <si>
    <t>transportēšanas attālums, km</t>
  </si>
  <si>
    <t>kopējais ūdens daudzums d/n, l</t>
  </si>
  <si>
    <t>degvielas patriņš uz vienu km, l</t>
  </si>
  <si>
    <t>transportēšanas dienu skaits, d</t>
  </si>
  <si>
    <t>patērētā degviela, l</t>
  </si>
  <si>
    <t>Pārējā transporta patērētā degviela, l</t>
  </si>
  <si>
    <t>Ūdens transports</t>
  </si>
  <si>
    <t>Realizētie šķirnes jēri, gb</t>
  </si>
  <si>
    <t>vaislas aitiņas</t>
  </si>
  <si>
    <t>Vaislas jaunaitiņu izmaksas, Ls</t>
  </si>
  <si>
    <t>1 aitai gadā, t</t>
  </si>
  <si>
    <t>Nobaroamam jēram</t>
  </si>
  <si>
    <t>Vaislas aitiņām</t>
  </si>
  <si>
    <t>nobarojamie teķīši</t>
  </si>
  <si>
    <t>Vaislas jaunaitiņucena, Ls</t>
  </si>
  <si>
    <t>153-420d</t>
  </si>
  <si>
    <t>Vaislas jaunaitiņām</t>
  </si>
  <si>
    <t>Nepieciešamās barības vienības</t>
  </si>
  <si>
    <t>Siens</t>
  </si>
  <si>
    <t>Zāle</t>
  </si>
  <si>
    <t>Spēkbarība</t>
  </si>
  <si>
    <t>Struktūra, %</t>
  </si>
  <si>
    <t>B.V.</t>
  </si>
  <si>
    <t>Ziemas periodā, dienas</t>
  </si>
  <si>
    <t>Vasaras periodā, dienas</t>
  </si>
  <si>
    <t>Kopā gadā</t>
  </si>
  <si>
    <t>Latvijas tumšgalves vaislas materiāla izmaksas, izmatojot intensīvo metodi</t>
  </si>
  <si>
    <t>Vaislas materiāla ražošanas izmaksas, izmantojot dubulto krustošanu pie intensīvas tehnoloģijas</t>
  </si>
  <si>
    <t>Vaislas jaunaitiņu cena, Ls</t>
  </si>
  <si>
    <t>KOPĀ1</t>
  </si>
  <si>
    <t>Aizkraukles</t>
  </si>
  <si>
    <t>Alūksnes</t>
  </si>
  <si>
    <t>Balvu</t>
  </si>
  <si>
    <t>Bauskas</t>
  </si>
  <si>
    <t>Cēsu</t>
  </si>
  <si>
    <t>Daugavpils</t>
  </si>
  <si>
    <t>Dobeles</t>
  </si>
  <si>
    <t>Gulbenes</t>
  </si>
  <si>
    <t>Jēkabpils</t>
  </si>
  <si>
    <t>Jelgavas</t>
  </si>
  <si>
    <t>Krāslavas</t>
  </si>
  <si>
    <t>Kuldīgas</t>
  </si>
  <si>
    <t>Liepājas</t>
  </si>
  <si>
    <t>Limbažu</t>
  </si>
  <si>
    <t>Ludzas</t>
  </si>
  <si>
    <t>Madonas</t>
  </si>
  <si>
    <t>Ogres</t>
  </si>
  <si>
    <t>Preiļu</t>
  </si>
  <si>
    <t>Rēzeknes</t>
  </si>
  <si>
    <t>Rīgas</t>
  </si>
  <si>
    <t>Saldus</t>
  </si>
  <si>
    <t>Talsu</t>
  </si>
  <si>
    <t>Tukuma</t>
  </si>
  <si>
    <t>Valkas</t>
  </si>
  <si>
    <t>Valmieras</t>
  </si>
  <si>
    <t>Ventspils</t>
  </si>
  <si>
    <t>Kurzeme</t>
  </si>
  <si>
    <t>Latgale</t>
  </si>
  <si>
    <t>Vidzeme</t>
  </si>
  <si>
    <t>Zemgale</t>
  </si>
  <si>
    <t>Eiropas Savienība</t>
  </si>
  <si>
    <t>ES sezonas bāzes cena</t>
  </si>
  <si>
    <t>Aitas gaļas ražošana</t>
  </si>
  <si>
    <t>Vilnas ražošana</t>
  </si>
  <si>
    <t>1991. g.</t>
  </si>
  <si>
    <t>1992. g.</t>
  </si>
  <si>
    <t>1993. g.</t>
  </si>
  <si>
    <t>1994. g.</t>
  </si>
  <si>
    <t>1995. g.</t>
  </si>
  <si>
    <t>1996. g.</t>
  </si>
  <si>
    <t>1997. g.</t>
  </si>
  <si>
    <t>t.sk. produktīvās aitas</t>
  </si>
  <si>
    <t>Dzīvnieku skaits visa veida saimniecībās</t>
  </si>
  <si>
    <t>aitu mātes visa veida saimniecībās</t>
  </si>
  <si>
    <t>Aitu skaits valsts saimniecībās un statūtsabiedrībās</t>
  </si>
  <si>
    <t>Aitu skaits zemnieku un piemājas saimniecībās</t>
  </si>
  <si>
    <t>3.2. Aitkopības saimniecības budžeta aprēķināšana ar intensīvas tehnoloģiju, izmantojot bubulto krustošanu</t>
  </si>
  <si>
    <t>3.2. Aitkopības saimniecības budžeta aprēķināšana ar intensīvas tehnoloģiju, izmavtojot Latvijas tumšgalves krustošanu ar gaļas šķirnes teķiem</t>
  </si>
  <si>
    <t>Pārējās izmaksas</t>
  </si>
  <si>
    <t>3.1. Aitkopības saimniecības budžeta aprēķināšana pie pastāvošā tehnoloģiskā procesa, 1997. gada dati [7]</t>
  </si>
  <si>
    <t>Nepieciešamās barības devas aitkopības produkcijas ražošanai [6, 8]</t>
  </si>
  <si>
    <t>Vienas t lopbarības ražošanas izmaksas, Ls</t>
  </si>
  <si>
    <t>Vienas t cena pērkot lopbarību, Ls</t>
  </si>
  <si>
    <t>Bruto peļņa, Ls</t>
  </si>
  <si>
    <t>Bruto peļņas rentabilitāte, %</t>
  </si>
</sst>
</file>

<file path=xl/styles.xml><?xml version="1.0" encoding="utf-8"?>
<styleSheet xmlns="http://schemas.openxmlformats.org/spreadsheetml/2006/main">
  <numFmts count="2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_);\(&quot;Ls&quot;#,##0\)"/>
    <numFmt numFmtId="165" formatCode="&quot;Ls&quot;#,##0_);[Red]\(&quot;Ls&quot;#,##0\)"/>
    <numFmt numFmtId="166" formatCode="&quot;Ls&quot;#,##0.00_);\(&quot;Ls&quot;#,##0.00\)"/>
    <numFmt numFmtId="167" formatCode="&quot;Ls&quot;#,##0.00_);[Red]\(&quot;Ls&quot;#,##0.00\)"/>
    <numFmt numFmtId="168" formatCode="_(&quot;Ls&quot;* #,##0_);_(&quot;Ls&quot;* \(#,##0\);_(&quot;Ls&quot;* &quot;-&quot;_);_(@_)"/>
    <numFmt numFmtId="169" formatCode="_(* #,##0_);_(* \(#,##0\);_(* &quot;-&quot;_);_(@_)"/>
    <numFmt numFmtId="170" formatCode="_(&quot;Ls&quot;* #,##0.00_);_(&quot;Ls&quot;* \(#,##0.00\);_(&quot;Ls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</numFmts>
  <fonts count="16">
    <font>
      <sz val="12"/>
      <name val="Times New Roman"/>
      <family val="0"/>
    </font>
    <font>
      <b/>
      <sz val="12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vertAlign val="superscript"/>
      <sz val="12"/>
      <name val="Times New Roman"/>
      <family val="1"/>
    </font>
    <font>
      <sz val="10"/>
      <name val="Arial"/>
      <family val="0"/>
    </font>
    <font>
      <sz val="6"/>
      <name val="RimTimes"/>
      <family val="0"/>
    </font>
    <font>
      <sz val="10"/>
      <name val="RimTimes"/>
      <family val="0"/>
    </font>
    <font>
      <b/>
      <sz val="10"/>
      <name val="RimTimes"/>
      <family val="0"/>
    </font>
    <font>
      <sz val="10"/>
      <name val="Times New Roman"/>
      <family val="1"/>
    </font>
    <font>
      <b/>
      <i/>
      <sz val="8.5"/>
      <name val="Times New Roman"/>
      <family val="1"/>
    </font>
    <font>
      <i/>
      <sz val="9.5"/>
      <name val="Times New Roman"/>
      <family val="1"/>
    </font>
    <font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11"/>
        <bgColor indexed="26"/>
      </patternFill>
    </fill>
    <fill>
      <patternFill patternType="gray0625">
        <fgColor indexed="11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Up="1" diagonalDown="1">
      <left style="medium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Up="1">
      <left style="double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medium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3" fillId="3" borderId="10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2" fontId="3" fillId="4" borderId="1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0" fontId="4" fillId="2" borderId="1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3" borderId="2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" fontId="4" fillId="0" borderId="6" xfId="0" applyNumberFormat="1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0" fillId="2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2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Font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0" fontId="0" fillId="2" borderId="3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75" fontId="0" fillId="0" borderId="3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8" xfId="0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0" xfId="23">
      <alignment/>
      <protection/>
    </xf>
    <xf numFmtId="0" fontId="8" fillId="0" borderId="0" xfId="23" applyAlignment="1">
      <alignment horizontal="center"/>
      <protection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9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8" borderId="41" xfId="0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0" fillId="7" borderId="28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6" borderId="30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5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0" borderId="43" xfId="0" applyBorder="1" applyAlignment="1">
      <alignment horizontal="center"/>
    </xf>
    <xf numFmtId="175" fontId="0" fillId="0" borderId="7" xfId="0" applyNumberFormat="1" applyFont="1" applyBorder="1" applyAlignment="1">
      <alignment horizontal="center" vertical="center"/>
    </xf>
    <xf numFmtId="175" fontId="0" fillId="0" borderId="8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omma [0]_Book3" xfId="17"/>
    <cellStyle name="Comma_Book3" xfId="18"/>
    <cellStyle name="Currency" xfId="19"/>
    <cellStyle name="Currency [0]" xfId="20"/>
    <cellStyle name="Currency [0]_Book3" xfId="21"/>
    <cellStyle name="Currency_Book3" xfId="22"/>
    <cellStyle name="Normal_Book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'1.7.1. att'!$A$3</c:f>
              <c:strCache>
                <c:ptCount val="1"/>
                <c:pt idx="0">
                  <c:v>Struktūra, %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'1.7.1. att'!$B$2:$AA$2</c:f>
              <c:strCache/>
            </c:strRef>
          </c:cat>
          <c:val>
            <c:numRef>
              <c:f>'1.7.1. att'!$B$3:$AA$3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0954575"/>
        <c:axId val="31482312"/>
      </c:barChart>
      <c:catAx>
        <c:axId val="10954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82312"/>
        <c:crosses val="autoZero"/>
        <c:auto val="1"/>
        <c:lblOffset val="100"/>
        <c:noMultiLvlLbl val="0"/>
      </c:catAx>
      <c:valAx>
        <c:axId val="3148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Struktūra,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954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45"/>
          <c:w val="0.808"/>
          <c:h val="0.84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'1.7.2. att'!$A$1</c:f>
              <c:strCache>
                <c:ptCount val="1"/>
                <c:pt idx="0">
                  <c:v>Kurzeme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'1.7.2. att'!$A$2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'1.7.2. att'!$B$1</c:f>
              <c:strCache>
                <c:ptCount val="1"/>
                <c:pt idx="0">
                  <c:v>Latgale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'1.7.2. att'!$B$2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'1.7.2. att'!$C$1</c:f>
              <c:strCache>
                <c:ptCount val="1"/>
                <c:pt idx="0">
                  <c:v>Vidzeme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'1.7.2. att'!$C$2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'1.7.2. att'!$D$1</c:f>
              <c:strCache>
                <c:ptCount val="1"/>
                <c:pt idx="0">
                  <c:v>Zemgale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'1.7.2. att'!$D$2</c:f>
              <c:numCache>
                <c:ptCount val="1"/>
                <c:pt idx="0">
                  <c:v>0</c:v>
                </c:pt>
              </c:numCache>
            </c:numRef>
          </c:val>
        </c:ser>
        <c:axId val="14905353"/>
        <c:axId val="67039314"/>
      </c:barChart>
      <c:catAx>
        <c:axId val="14905353"/>
        <c:scaling>
          <c:orientation val="minMax"/>
        </c:scaling>
        <c:axPos val="l"/>
        <c:delete val="1"/>
        <c:majorTickMark val="out"/>
        <c:minorTickMark val="none"/>
        <c:tickLblPos val="nextTo"/>
        <c:crossAx val="67039314"/>
        <c:crosses val="autoZero"/>
        <c:auto val="1"/>
        <c:lblOffset val="100"/>
        <c:noMultiLvlLbl val="0"/>
      </c:catAx>
      <c:valAx>
        <c:axId val="670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Struktūra,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0535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08625"/>
          <c:w val="0.14225"/>
          <c:h val="0.63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Aitas gaļas cena ES 1997.g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275"/>
          <c:w val="0.726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'4.2.1. att.'!$A$2</c:f>
              <c:strCache>
                <c:ptCount val="1"/>
                <c:pt idx="0">
                  <c:v>Eiropas Savienība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'4.2.1. att.'!$B$2:$E$2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'4.2.1. att.'!$A$3</c:f>
              <c:strCache>
                <c:ptCount val="1"/>
                <c:pt idx="0">
                  <c:v>ES sezonas bāzes cena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'4.2.1. att.'!$B$3:$E$3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6482915"/>
        <c:axId val="61475324"/>
      </c:lineChart>
      <c:catAx>
        <c:axId val="6648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Ceturkšņi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1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475324"/>
        <c:crosses val="autoZero"/>
        <c:auto val="1"/>
        <c:lblOffset val="100"/>
        <c:noMultiLvlLbl val="0"/>
      </c:catAx>
      <c:valAx>
        <c:axId val="614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Cena, ECU/cnt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1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8291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625"/>
          <c:w val="0.18325"/>
          <c:h val="0.2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5"/>
          <c:w val="0.63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'1.3.1. att.'!$A$3</c:f>
              <c:strCache>
                <c:ptCount val="1"/>
                <c:pt idx="0">
                  <c:v>Aitas gaļas ražošana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'1.3.1. att.'!$B$2:$I$2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'1.3.1. att.'!$B$3:$I$3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6407005"/>
        <c:axId val="13445318"/>
      </c:barChart>
      <c:lineChart>
        <c:grouping val="standard"/>
        <c:varyColors val="0"/>
        <c:ser>
          <c:idx val="0"/>
          <c:order val="1"/>
          <c:tx>
            <c:strRef>
              <c:f>'1.3.1. att.'!$A$4</c:f>
              <c:strCache>
                <c:ptCount val="1"/>
                <c:pt idx="0">
                  <c:v>Vilnas ražošana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333333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'1.3.1. att.'!$B$2:$I$2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'1.3.1. att.'!$B$4:$I$4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3898999"/>
        <c:axId val="15328944"/>
      </c:line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45318"/>
        <c:crosses val="autoZero"/>
        <c:auto val="0"/>
        <c:lblOffset val="100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Aitas gaļa,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407005"/>
        <c:crossesAt val="1"/>
        <c:crossBetween val="between"/>
        <c:dispUnits/>
      </c:valAx>
      <c:catAx>
        <c:axId val="53898999"/>
        <c:scaling>
          <c:orientation val="minMax"/>
        </c:scaling>
        <c:axPos val="b"/>
        <c:delete val="1"/>
        <c:majorTickMark val="in"/>
        <c:minorTickMark val="none"/>
        <c:tickLblPos val="nextTo"/>
        <c:crossAx val="15328944"/>
        <c:crosses val="autoZero"/>
        <c:auto val="1"/>
        <c:lblOffset val="100"/>
        <c:noMultiLvlLbl val="0"/>
      </c:catAx>
      <c:valAx>
        <c:axId val="15328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Vilna,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989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3975"/>
          <c:w val="0.187"/>
          <c:h val="0.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70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'1.4.1. att.'!$A$2</c:f>
              <c:strCache>
                <c:ptCount val="1"/>
                <c:pt idx="0">
                  <c:v>Dzīvnieku skaits visa veida saimniecībās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'1.4.1. att.'!$B$1:$H$1</c:f>
              <c:strCache>
                <c:ptCount val="7"/>
                <c:pt idx="0">
                  <c:v>1991. g.</c:v>
                </c:pt>
                <c:pt idx="1">
                  <c:v>1992. g.</c:v>
                </c:pt>
                <c:pt idx="2">
                  <c:v>1993. g.</c:v>
                </c:pt>
                <c:pt idx="3">
                  <c:v>1994. g.</c:v>
                </c:pt>
                <c:pt idx="4">
                  <c:v>1995. g.</c:v>
                </c:pt>
                <c:pt idx="5">
                  <c:v>1996. g.</c:v>
                </c:pt>
                <c:pt idx="6">
                  <c:v>1997. g.</c:v>
                </c:pt>
              </c:strCache>
            </c:strRef>
          </c:cat>
          <c:val>
            <c:numRef>
              <c:f>'1.4.1. att.'!$B$2:$H$2</c:f>
              <c:numCache>
                <c:ptCount val="7"/>
                <c:pt idx="0">
                  <c:v>183.7</c:v>
                </c:pt>
                <c:pt idx="1">
                  <c:v>164.7</c:v>
                </c:pt>
                <c:pt idx="2">
                  <c:v>114</c:v>
                </c:pt>
                <c:pt idx="3">
                  <c:v>86.3</c:v>
                </c:pt>
                <c:pt idx="4">
                  <c:v>72.1</c:v>
                </c:pt>
                <c:pt idx="5">
                  <c:v>55.5</c:v>
                </c:pt>
                <c:pt idx="6">
                  <c:v>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'1.4.1. att.'!$A$3</c:f>
              <c:strCache>
                <c:ptCount val="1"/>
                <c:pt idx="0">
                  <c:v>aitu mātes visa veida saimniecībās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'1.4.1. att.'!$B$1:$H$1</c:f>
              <c:strCache>
                <c:ptCount val="7"/>
                <c:pt idx="0">
                  <c:v>1991. g.</c:v>
                </c:pt>
                <c:pt idx="1">
                  <c:v>1992. g.</c:v>
                </c:pt>
                <c:pt idx="2">
                  <c:v>1993. g.</c:v>
                </c:pt>
                <c:pt idx="3">
                  <c:v>1994. g.</c:v>
                </c:pt>
                <c:pt idx="4">
                  <c:v>1995. g.</c:v>
                </c:pt>
                <c:pt idx="5">
                  <c:v>1996. g.</c:v>
                </c:pt>
                <c:pt idx="6">
                  <c:v>1997. g.</c:v>
                </c:pt>
              </c:strCache>
            </c:strRef>
          </c:cat>
          <c:val>
            <c:numRef>
              <c:f>'1.4.1. att.'!$B$3:$H$3</c:f>
              <c:numCache>
                <c:ptCount val="7"/>
                <c:pt idx="0">
                  <c:v>109.3</c:v>
                </c:pt>
                <c:pt idx="1">
                  <c:v>99.7</c:v>
                </c:pt>
                <c:pt idx="2">
                  <c:v>64.2</c:v>
                </c:pt>
                <c:pt idx="3">
                  <c:v>57.4</c:v>
                </c:pt>
                <c:pt idx="4">
                  <c:v>46.6</c:v>
                </c:pt>
                <c:pt idx="5">
                  <c:v>35.7</c:v>
                </c:pt>
                <c:pt idx="6">
                  <c:v>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'1.4.1. att.'!$A$5</c:f>
              <c:strCache>
                <c:ptCount val="1"/>
                <c:pt idx="0">
                  <c:v>Aitu skaits valsts saimniecībās un statūtsabiedrībās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'1.4.1. att.'!$B$1:$H$1</c:f>
              <c:strCache>
                <c:ptCount val="7"/>
                <c:pt idx="0">
                  <c:v>1991. g.</c:v>
                </c:pt>
                <c:pt idx="1">
                  <c:v>1992. g.</c:v>
                </c:pt>
                <c:pt idx="2">
                  <c:v>1993. g.</c:v>
                </c:pt>
                <c:pt idx="3">
                  <c:v>1994. g.</c:v>
                </c:pt>
                <c:pt idx="4">
                  <c:v>1995. g.</c:v>
                </c:pt>
                <c:pt idx="5">
                  <c:v>1996. g.</c:v>
                </c:pt>
                <c:pt idx="6">
                  <c:v>1997. g.</c:v>
                </c:pt>
              </c:strCache>
            </c:strRef>
          </c:cat>
          <c:val>
            <c:numRef>
              <c:f>'1.4.1. att.'!$B$5:$H$5</c:f>
              <c:numCache>
                <c:ptCount val="7"/>
                <c:pt idx="0">
                  <c:v>24.4</c:v>
                </c:pt>
                <c:pt idx="1">
                  <c:v>8.7</c:v>
                </c:pt>
                <c:pt idx="2">
                  <c:v>1.4</c:v>
                </c:pt>
                <c:pt idx="3">
                  <c:v>1.1</c:v>
                </c:pt>
                <c:pt idx="4">
                  <c:v>1</c:v>
                </c:pt>
                <c:pt idx="5">
                  <c:v>0.5</c:v>
                </c:pt>
                <c:pt idx="6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'1.4.1. att.'!$A$6</c:f>
              <c:strCache>
                <c:ptCount val="1"/>
                <c:pt idx="0">
                  <c:v>Aitu skaits zemnieku un piemājas saimniecībās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'1.4.1. att.'!$B$1:$H$1</c:f>
              <c:strCache>
                <c:ptCount val="7"/>
                <c:pt idx="0">
                  <c:v>1991. g.</c:v>
                </c:pt>
                <c:pt idx="1">
                  <c:v>1992. g.</c:v>
                </c:pt>
                <c:pt idx="2">
                  <c:v>1993. g.</c:v>
                </c:pt>
                <c:pt idx="3">
                  <c:v>1994. g.</c:v>
                </c:pt>
                <c:pt idx="4">
                  <c:v>1995. g.</c:v>
                </c:pt>
                <c:pt idx="5">
                  <c:v>1996. g.</c:v>
                </c:pt>
                <c:pt idx="6">
                  <c:v>1997. g.</c:v>
                </c:pt>
              </c:strCache>
            </c:strRef>
          </c:cat>
          <c:val>
            <c:numRef>
              <c:f>'1.4.1. att.'!$B$6:$H$6</c:f>
              <c:numCache>
                <c:ptCount val="7"/>
                <c:pt idx="0">
                  <c:v>159.3</c:v>
                </c:pt>
                <c:pt idx="1">
                  <c:v>156</c:v>
                </c:pt>
                <c:pt idx="2">
                  <c:v>112.6</c:v>
                </c:pt>
                <c:pt idx="3">
                  <c:v>85.2</c:v>
                </c:pt>
                <c:pt idx="4">
                  <c:v>71.1</c:v>
                </c:pt>
                <c:pt idx="5">
                  <c:v>55</c:v>
                </c:pt>
                <c:pt idx="6">
                  <c:v>42.9</c:v>
                </c:pt>
              </c:numCache>
            </c:numRef>
          </c:val>
          <c:smooth val="0"/>
        </c:ser>
        <c:axId val="3742769"/>
        <c:axId val="33684922"/>
      </c:lineChart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4922"/>
        <c:crosses val="autoZero"/>
        <c:auto val="1"/>
        <c:lblOffset val="100"/>
        <c:noMultiLvlLbl val="0"/>
      </c:catAx>
      <c:valAx>
        <c:axId val="3368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Skaits, tūkst.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2769"/>
        <c:crossesAt val="1"/>
        <c:crossBetween val="between"/>
        <c:dispUnits/>
      </c:valAx>
      <c:spPr>
        <a:pattFill prst="pct90">
          <a:fgClr>
            <a:srgbClr val="C0C0C0"/>
          </a:fgClr>
          <a:bgClr>
            <a:srgbClr val="000000"/>
          </a:bgClr>
        </a:patt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5675"/>
          <c:w val="0.2385"/>
          <c:h val="0.7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9525</xdr:rowOff>
    </xdr:from>
    <xdr:to>
      <xdr:col>10</xdr:col>
      <xdr:colOff>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47625" y="695325"/>
        <a:ext cx="56197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161925</xdr:rowOff>
    </xdr:from>
    <xdr:to>
      <xdr:col>7</xdr:col>
      <xdr:colOff>152400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14300" y="962025"/>
        <a:ext cx="48387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257175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000125"/>
        <a:ext cx="5076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161925</xdr:rowOff>
    </xdr:from>
    <xdr:to>
      <xdr:col>9</xdr:col>
      <xdr:colOff>19050</xdr:colOff>
      <xdr:row>18</xdr:row>
      <xdr:rowOff>171450</xdr:rowOff>
    </xdr:to>
    <xdr:graphicFrame>
      <xdr:nvGraphicFramePr>
        <xdr:cNvPr id="1" name="Chart 2"/>
        <xdr:cNvGraphicFramePr/>
      </xdr:nvGraphicFramePr>
      <xdr:xfrm>
        <a:off x="247650" y="962025"/>
        <a:ext cx="5943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180975</xdr:rowOff>
    </xdr:from>
    <xdr:to>
      <xdr:col>7</xdr:col>
      <xdr:colOff>533400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7625" y="1428750"/>
        <a:ext cx="69151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363;su%20dokumenti\DAINIS\NOZARES\Augkop&#299;ba\BUD_LAB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bar.rit."/>
      <sheetName val="siens"/>
      <sheetName val="zāle_sksiens"/>
      <sheetName val="zāle_gan"/>
    </sheetNames>
    <sheetDataSet>
      <sheetData sheetId="1">
        <row r="8">
          <cell r="F8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26">
      <selection activeCell="D44" sqref="D44"/>
    </sheetView>
  </sheetViews>
  <sheetFormatPr defaultColWidth="9.00390625" defaultRowHeight="15.75"/>
  <cols>
    <col min="1" max="1" width="28.125" style="61" bestFit="1" customWidth="1"/>
    <col min="2" max="2" width="9.875" style="61" customWidth="1"/>
    <col min="3" max="3" width="8.50390625" style="61" bestFit="1" customWidth="1"/>
    <col min="4" max="4" width="9.75390625" style="61" customWidth="1"/>
    <col min="5" max="5" width="6.625" style="61" bestFit="1" customWidth="1"/>
    <col min="6" max="6" width="26.125" style="61" bestFit="1" customWidth="1"/>
    <col min="7" max="7" width="10.00390625" style="61" customWidth="1"/>
    <col min="8" max="8" width="9.625" style="61" bestFit="1" customWidth="1"/>
    <col min="9" max="9" width="7.625" style="61" bestFit="1" customWidth="1"/>
    <col min="10" max="10" width="6.625" style="61" bestFit="1" customWidth="1"/>
    <col min="11" max="16384" width="9.00390625" style="61" customWidth="1"/>
  </cols>
  <sheetData>
    <row r="1" spans="1:10" ht="15.75">
      <c r="A1" s="222" t="s">
        <v>241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7.5" customHeight="1" thickBot="1"/>
    <row r="3" spans="1:10" ht="17.25" thickTop="1">
      <c r="A3" s="217" t="s">
        <v>0</v>
      </c>
      <c r="B3" s="218"/>
      <c r="C3" s="218"/>
      <c r="D3" s="218"/>
      <c r="E3" s="219"/>
      <c r="F3" s="218" t="s">
        <v>1</v>
      </c>
      <c r="G3" s="205"/>
      <c r="H3" s="205"/>
      <c r="I3" s="205"/>
      <c r="J3" s="206"/>
    </row>
    <row r="4" spans="1:10" ht="31.5">
      <c r="A4" s="1" t="s">
        <v>2</v>
      </c>
      <c r="B4" s="2" t="s">
        <v>3</v>
      </c>
      <c r="C4" s="3" t="s">
        <v>4</v>
      </c>
      <c r="D4" s="207"/>
      <c r="E4" s="208"/>
      <c r="F4" s="4" t="s">
        <v>5</v>
      </c>
      <c r="G4" s="2" t="s">
        <v>3</v>
      </c>
      <c r="H4" s="2" t="s">
        <v>6</v>
      </c>
      <c r="I4" s="5" t="s">
        <v>7</v>
      </c>
      <c r="J4" s="6" t="s">
        <v>8</v>
      </c>
    </row>
    <row r="5" spans="1:10" ht="15.75">
      <c r="A5" s="62" t="s">
        <v>9</v>
      </c>
      <c r="B5" s="63">
        <v>5.5</v>
      </c>
      <c r="C5" s="64" t="s">
        <v>10</v>
      </c>
      <c r="D5" s="209"/>
      <c r="E5" s="210"/>
      <c r="F5" s="7" t="s">
        <v>11</v>
      </c>
      <c r="H5" s="65">
        <v>5148.92</v>
      </c>
      <c r="I5" s="66">
        <f>ROUND(H5/$B$26,2)</f>
        <v>54.61</v>
      </c>
      <c r="J5" s="8">
        <f>ROUND(H5/$H$40%,2)</f>
        <v>32.22</v>
      </c>
    </row>
    <row r="6" spans="1:10" ht="15.75">
      <c r="A6" s="9" t="s">
        <v>12</v>
      </c>
      <c r="B6" s="67">
        <v>5.5</v>
      </c>
      <c r="C6" s="68">
        <f>B36</f>
        <v>78.01393939394167</v>
      </c>
      <c r="D6" s="211"/>
      <c r="E6" s="212"/>
      <c r="F6" s="10" t="s">
        <v>13</v>
      </c>
      <c r="G6" s="63"/>
      <c r="H6" s="63">
        <f>B6*C6*12</f>
        <v>5148.92000000015</v>
      </c>
      <c r="I6" s="66">
        <f>ROUND(H6/$B$26,2)</f>
        <v>54.61</v>
      </c>
      <c r="J6" s="69">
        <f>ROUND(H6/$H$5%,2)</f>
        <v>100</v>
      </c>
    </row>
    <row r="7" spans="1:10" ht="15.75">
      <c r="A7" s="9" t="s">
        <v>14</v>
      </c>
      <c r="B7" s="70"/>
      <c r="C7" s="64"/>
      <c r="D7" s="211"/>
      <c r="E7" s="212"/>
      <c r="F7" s="10" t="s">
        <v>15</v>
      </c>
      <c r="G7" s="63"/>
      <c r="H7" s="63">
        <v>0</v>
      </c>
      <c r="I7" s="66">
        <f aca="true" t="shared" si="0" ref="I7:I40">ROUND(H7/$B$26,2)</f>
        <v>0</v>
      </c>
      <c r="J7" s="69">
        <f>ROUND(H7/$H$5%,2)</f>
        <v>0</v>
      </c>
    </row>
    <row r="8" spans="1:10" ht="15.75">
      <c r="A8" s="62" t="s">
        <v>16</v>
      </c>
      <c r="B8" s="63">
        <v>40</v>
      </c>
      <c r="C8" s="64" t="s">
        <v>10</v>
      </c>
      <c r="D8" s="211"/>
      <c r="E8" s="212"/>
      <c r="F8" s="7" t="s">
        <v>17</v>
      </c>
      <c r="G8" s="71">
        <v>27</v>
      </c>
      <c r="H8" s="65">
        <f>ROUND(H5*G8%,2)</f>
        <v>1390.21</v>
      </c>
      <c r="I8" s="66">
        <f>ROUND(H8/$B$26,2)</f>
        <v>14.74</v>
      </c>
      <c r="J8" s="8">
        <f>ROUND(H8/$H$40%,2)</f>
        <v>8.7</v>
      </c>
    </row>
    <row r="9" spans="1:10" ht="15.75">
      <c r="A9" s="9" t="s">
        <v>18</v>
      </c>
      <c r="B9" s="63">
        <v>20</v>
      </c>
      <c r="C9" s="64" t="s">
        <v>10</v>
      </c>
      <c r="D9" s="211"/>
      <c r="E9" s="212"/>
      <c r="F9" s="11" t="s">
        <v>19</v>
      </c>
      <c r="G9" s="72">
        <f>SUM(G10:G17)</f>
        <v>14194.5</v>
      </c>
      <c r="H9" s="73">
        <f>SUM(H10:H18)</f>
        <v>4870.3099999999995</v>
      </c>
      <c r="I9" s="74">
        <f t="shared" si="0"/>
        <v>51.65</v>
      </c>
      <c r="J9" s="75">
        <f>ROUND(H9/$H$40%,2)</f>
        <v>30.47</v>
      </c>
    </row>
    <row r="10" spans="1:10" ht="15.75">
      <c r="A10" s="9" t="s">
        <v>20</v>
      </c>
      <c r="B10" s="63"/>
      <c r="C10" s="64" t="s">
        <v>10</v>
      </c>
      <c r="D10" s="211"/>
      <c r="E10" s="212"/>
      <c r="F10" s="10" t="s">
        <v>21</v>
      </c>
      <c r="G10" s="63">
        <v>2822</v>
      </c>
      <c r="H10" s="63">
        <v>721.4</v>
      </c>
      <c r="I10" s="66">
        <f t="shared" si="0"/>
        <v>7.65</v>
      </c>
      <c r="J10" s="69">
        <f>ROUND(H10/$H$9%,2)</f>
        <v>14.81</v>
      </c>
    </row>
    <row r="11" spans="1:10" ht="15.75">
      <c r="A11" s="76" t="s">
        <v>22</v>
      </c>
      <c r="B11" s="67">
        <v>345</v>
      </c>
      <c r="C11" s="77" t="s">
        <v>10</v>
      </c>
      <c r="D11" s="211"/>
      <c r="E11" s="212"/>
      <c r="F11" s="10" t="s">
        <v>23</v>
      </c>
      <c r="G11" s="213">
        <v>625</v>
      </c>
      <c r="H11" s="213">
        <v>387</v>
      </c>
      <c r="I11" s="220">
        <f t="shared" si="0"/>
        <v>4.1</v>
      </c>
      <c r="J11" s="223">
        <f aca="true" t="shared" si="1" ref="J11:J18">ROUND(H11/$H$9%,2)</f>
        <v>7.95</v>
      </c>
    </row>
    <row r="12" spans="1:10" ht="15.75">
      <c r="A12" s="9" t="s">
        <v>24</v>
      </c>
      <c r="B12" s="67">
        <v>186</v>
      </c>
      <c r="C12" s="64" t="s">
        <v>10</v>
      </c>
      <c r="D12" s="211"/>
      <c r="E12" s="212"/>
      <c r="F12" s="10" t="s">
        <v>25</v>
      </c>
      <c r="G12" s="196"/>
      <c r="H12" s="196"/>
      <c r="I12" s="221">
        <f t="shared" si="0"/>
        <v>0</v>
      </c>
      <c r="J12" s="224">
        <f t="shared" si="1"/>
        <v>0</v>
      </c>
    </row>
    <row r="13" spans="1:10" ht="15.75">
      <c r="A13" s="9" t="s">
        <v>26</v>
      </c>
      <c r="B13" s="67">
        <v>8</v>
      </c>
      <c r="C13" s="64" t="s">
        <v>10</v>
      </c>
      <c r="D13" s="211"/>
      <c r="E13" s="212"/>
      <c r="F13" s="10" t="s">
        <v>27</v>
      </c>
      <c r="G13" s="63">
        <v>2.5</v>
      </c>
      <c r="H13" s="63">
        <v>12.1</v>
      </c>
      <c r="I13" s="66">
        <f t="shared" si="0"/>
        <v>0.13</v>
      </c>
      <c r="J13" s="69">
        <f t="shared" si="1"/>
        <v>0.25</v>
      </c>
    </row>
    <row r="14" spans="1:10" ht="15.75">
      <c r="A14" s="9" t="s">
        <v>28</v>
      </c>
      <c r="B14" s="63">
        <v>50</v>
      </c>
      <c r="C14" s="64" t="s">
        <v>10</v>
      </c>
      <c r="D14" s="211"/>
      <c r="E14" s="212"/>
      <c r="F14" s="10" t="s">
        <v>29</v>
      </c>
      <c r="G14" s="63">
        <v>10313</v>
      </c>
      <c r="H14" s="63">
        <v>1826</v>
      </c>
      <c r="I14" s="66">
        <f t="shared" si="0"/>
        <v>19.37</v>
      </c>
      <c r="J14" s="69">
        <f t="shared" si="1"/>
        <v>37.49</v>
      </c>
    </row>
    <row r="15" spans="1:10" ht="15.75">
      <c r="A15" s="9" t="s">
        <v>30</v>
      </c>
      <c r="B15" s="63">
        <v>19</v>
      </c>
      <c r="C15" s="64" t="s">
        <v>10</v>
      </c>
      <c r="D15" s="211"/>
      <c r="E15" s="212"/>
      <c r="F15" s="10" t="s">
        <v>31</v>
      </c>
      <c r="G15" s="63">
        <v>425</v>
      </c>
      <c r="H15" s="63">
        <v>413</v>
      </c>
      <c r="I15" s="66">
        <f t="shared" si="0"/>
        <v>4.38</v>
      </c>
      <c r="J15" s="69">
        <f t="shared" si="1"/>
        <v>8.48</v>
      </c>
    </row>
    <row r="16" spans="1:10" ht="15.75">
      <c r="A16" s="9" t="s">
        <v>32</v>
      </c>
      <c r="B16" s="63">
        <v>139</v>
      </c>
      <c r="C16" s="64" t="s">
        <v>10</v>
      </c>
      <c r="D16" s="211"/>
      <c r="E16" s="212"/>
      <c r="F16" s="10" t="s">
        <v>33</v>
      </c>
      <c r="G16" s="63">
        <v>6</v>
      </c>
      <c r="H16" s="63">
        <v>124</v>
      </c>
      <c r="I16" s="66">
        <f t="shared" si="0"/>
        <v>1.32</v>
      </c>
      <c r="J16" s="69">
        <f t="shared" si="1"/>
        <v>2.55</v>
      </c>
    </row>
    <row r="17" spans="1:10" ht="15.75">
      <c r="A17" s="9" t="s">
        <v>34</v>
      </c>
      <c r="B17" s="67">
        <v>70</v>
      </c>
      <c r="C17" s="64" t="s">
        <v>10</v>
      </c>
      <c r="D17" s="211"/>
      <c r="E17" s="212"/>
      <c r="F17" s="10" t="s">
        <v>35</v>
      </c>
      <c r="G17" s="63">
        <v>1</v>
      </c>
      <c r="H17" s="63">
        <v>8</v>
      </c>
      <c r="I17" s="66">
        <f t="shared" si="0"/>
        <v>0.08</v>
      </c>
      <c r="J17" s="69">
        <f t="shared" si="1"/>
        <v>0.16</v>
      </c>
    </row>
    <row r="18" spans="1:10" ht="15.75">
      <c r="A18" s="62" t="s">
        <v>36</v>
      </c>
      <c r="B18" s="78">
        <v>30</v>
      </c>
      <c r="C18" s="79"/>
      <c r="D18" s="211"/>
      <c r="E18" s="212"/>
      <c r="F18" s="10" t="s">
        <v>37</v>
      </c>
      <c r="G18" s="63"/>
      <c r="H18" s="63">
        <v>1378.81</v>
      </c>
      <c r="I18" s="66">
        <f t="shared" si="0"/>
        <v>14.62</v>
      </c>
      <c r="J18" s="69">
        <f t="shared" si="1"/>
        <v>28.31</v>
      </c>
    </row>
    <row r="19" spans="1:10" ht="16.5" thickBot="1">
      <c r="A19" s="14" t="s">
        <v>38</v>
      </c>
      <c r="B19" s="80"/>
      <c r="C19" s="81"/>
      <c r="D19" s="211"/>
      <c r="E19" s="212"/>
      <c r="F19" s="7" t="s">
        <v>39</v>
      </c>
      <c r="G19" s="63">
        <v>5</v>
      </c>
      <c r="H19" s="65">
        <v>52</v>
      </c>
      <c r="I19" s="66">
        <f t="shared" si="0"/>
        <v>0.55</v>
      </c>
      <c r="J19" s="8">
        <f aca="true" t="shared" si="2" ref="J19:J26">ROUND(H19/$H$40%,2)</f>
        <v>0.33</v>
      </c>
    </row>
    <row r="20" spans="1:10" ht="17.25" thickTop="1">
      <c r="A20" s="217" t="s">
        <v>40</v>
      </c>
      <c r="B20" s="218"/>
      <c r="C20" s="218"/>
      <c r="D20" s="218"/>
      <c r="E20" s="219"/>
      <c r="F20" s="7" t="s">
        <v>41</v>
      </c>
      <c r="G20" s="63">
        <v>22</v>
      </c>
      <c r="H20" s="65">
        <v>717</v>
      </c>
      <c r="I20" s="66">
        <f t="shared" si="0"/>
        <v>7.6</v>
      </c>
      <c r="J20" s="8">
        <f t="shared" si="2"/>
        <v>4.49</v>
      </c>
    </row>
    <row r="21" spans="1:10" ht="28.5">
      <c r="A21" s="15" t="s">
        <v>2</v>
      </c>
      <c r="B21" s="16" t="s">
        <v>3</v>
      </c>
      <c r="C21" s="16" t="s">
        <v>4</v>
      </c>
      <c r="D21" s="17" t="s">
        <v>42</v>
      </c>
      <c r="E21" s="18" t="s">
        <v>8</v>
      </c>
      <c r="F21" s="19" t="s">
        <v>71</v>
      </c>
      <c r="G21" s="82">
        <v>2</v>
      </c>
      <c r="H21" s="83">
        <v>2</v>
      </c>
      <c r="I21" s="84">
        <f t="shared" si="0"/>
        <v>0.02</v>
      </c>
      <c r="J21" s="85">
        <f t="shared" si="2"/>
        <v>0.01</v>
      </c>
    </row>
    <row r="22" spans="1:10" ht="15.75">
      <c r="A22" s="62" t="s">
        <v>43</v>
      </c>
      <c r="B22" s="63">
        <v>55.93</v>
      </c>
      <c r="C22" s="64" t="s">
        <v>10</v>
      </c>
      <c r="D22" s="64" t="s">
        <v>10</v>
      </c>
      <c r="E22" s="8" t="s">
        <v>10</v>
      </c>
      <c r="F22" s="7" t="s">
        <v>44</v>
      </c>
      <c r="G22" s="63"/>
      <c r="H22" s="65">
        <v>802.43</v>
      </c>
      <c r="I22" s="66">
        <f t="shared" si="0"/>
        <v>8.51</v>
      </c>
      <c r="J22" s="8">
        <f t="shared" si="2"/>
        <v>5.02</v>
      </c>
    </row>
    <row r="23" spans="1:10" ht="15.75">
      <c r="A23" s="9" t="s">
        <v>45</v>
      </c>
      <c r="B23" s="67">
        <v>42</v>
      </c>
      <c r="C23" s="64" t="s">
        <v>10</v>
      </c>
      <c r="D23" s="64" t="s">
        <v>10</v>
      </c>
      <c r="E23" s="8" t="s">
        <v>10</v>
      </c>
      <c r="F23" s="7" t="s">
        <v>46</v>
      </c>
      <c r="G23" s="63"/>
      <c r="H23" s="65">
        <v>288.98</v>
      </c>
      <c r="I23" s="66">
        <f t="shared" si="0"/>
        <v>3.06</v>
      </c>
      <c r="J23" s="8">
        <f t="shared" si="2"/>
        <v>1.81</v>
      </c>
    </row>
    <row r="24" spans="1:10" ht="15.75">
      <c r="A24" s="62" t="s">
        <v>47</v>
      </c>
      <c r="B24" s="63">
        <f>ROUND(B22*B23%,3)</f>
        <v>23.491</v>
      </c>
      <c r="C24" s="64">
        <v>70</v>
      </c>
      <c r="D24" s="64">
        <f>B24*C24</f>
        <v>1644.37</v>
      </c>
      <c r="E24" s="8">
        <f>ROUND(D24/$D$34%,2)</f>
        <v>12.62</v>
      </c>
      <c r="F24" s="7" t="s">
        <v>48</v>
      </c>
      <c r="G24" s="63"/>
      <c r="H24" s="65">
        <v>419.34</v>
      </c>
      <c r="I24" s="66">
        <f t="shared" si="0"/>
        <v>4.45</v>
      </c>
      <c r="J24" s="8">
        <f t="shared" si="2"/>
        <v>2.62</v>
      </c>
    </row>
    <row r="25" spans="1:10" ht="15.75">
      <c r="A25" s="20" t="s">
        <v>49</v>
      </c>
      <c r="B25" s="67">
        <v>28.8</v>
      </c>
      <c r="C25" s="64">
        <v>80</v>
      </c>
      <c r="D25" s="64">
        <f>B25*C25</f>
        <v>2304</v>
      </c>
      <c r="E25" s="8">
        <f aca="true" t="shared" si="3" ref="E25:E34">ROUND(D25/$D$34%,2)</f>
        <v>17.68</v>
      </c>
      <c r="F25" s="7" t="s">
        <v>50</v>
      </c>
      <c r="G25" s="63"/>
      <c r="H25" s="65">
        <v>19.96</v>
      </c>
      <c r="I25" s="66">
        <f t="shared" si="0"/>
        <v>0.21</v>
      </c>
      <c r="J25" s="8">
        <f t="shared" si="2"/>
        <v>0.12</v>
      </c>
    </row>
    <row r="26" spans="1:10" ht="15.75">
      <c r="A26" s="21" t="s">
        <v>51</v>
      </c>
      <c r="B26" s="86">
        <f>SUM(B23:B25)</f>
        <v>94.291</v>
      </c>
      <c r="C26" s="87" t="s">
        <v>10</v>
      </c>
      <c r="D26" s="87">
        <f>SUM(D24:D25)</f>
        <v>3948.37</v>
      </c>
      <c r="E26" s="8">
        <f t="shared" si="3"/>
        <v>30.31</v>
      </c>
      <c r="F26" s="7" t="s">
        <v>52</v>
      </c>
      <c r="G26" s="63"/>
      <c r="H26" s="65">
        <v>334.32</v>
      </c>
      <c r="I26" s="66">
        <f t="shared" si="0"/>
        <v>3.55</v>
      </c>
      <c r="J26" s="8">
        <f t="shared" si="2"/>
        <v>2.09</v>
      </c>
    </row>
    <row r="27" spans="1:10" ht="15.75">
      <c r="A27" s="20" t="s">
        <v>53</v>
      </c>
      <c r="B27" s="63">
        <v>11</v>
      </c>
      <c r="C27" s="64">
        <v>58</v>
      </c>
      <c r="D27" s="64">
        <f>B27*C27</f>
        <v>638</v>
      </c>
      <c r="E27" s="8">
        <f t="shared" si="3"/>
        <v>4.9</v>
      </c>
      <c r="G27" s="63"/>
      <c r="H27" s="63"/>
      <c r="I27" s="66">
        <f t="shared" si="0"/>
        <v>0</v>
      </c>
      <c r="J27" s="88"/>
    </row>
    <row r="28" spans="1:10" ht="15.75">
      <c r="A28" s="20" t="s">
        <v>54</v>
      </c>
      <c r="B28" s="63"/>
      <c r="C28" s="64"/>
      <c r="D28" s="89"/>
      <c r="E28" s="8">
        <f t="shared" si="3"/>
        <v>0</v>
      </c>
      <c r="F28" s="7" t="s">
        <v>55</v>
      </c>
      <c r="G28" s="63"/>
      <c r="H28" s="65">
        <v>90.26</v>
      </c>
      <c r="I28" s="66">
        <f t="shared" si="0"/>
        <v>0.96</v>
      </c>
      <c r="J28" s="8">
        <f>ROUND(H28/$H$40%,2)</f>
        <v>0.56</v>
      </c>
    </row>
    <row r="29" spans="1:10" ht="15.75">
      <c r="A29" s="9" t="s">
        <v>56</v>
      </c>
      <c r="B29" s="63"/>
      <c r="C29" s="64"/>
      <c r="D29" s="89"/>
      <c r="E29" s="8">
        <f t="shared" si="3"/>
        <v>0</v>
      </c>
      <c r="F29" s="7" t="s">
        <v>57</v>
      </c>
      <c r="G29" s="63"/>
      <c r="H29" s="65"/>
      <c r="I29" s="90">
        <f t="shared" si="0"/>
        <v>0</v>
      </c>
      <c r="J29" s="8">
        <f>ROUND(H29/$H$40%,2)</f>
        <v>0</v>
      </c>
    </row>
    <row r="30" spans="1:10" ht="15.75">
      <c r="A30" s="9" t="s">
        <v>58</v>
      </c>
      <c r="B30" s="63"/>
      <c r="C30" s="64"/>
      <c r="D30" s="89"/>
      <c r="E30" s="8">
        <f t="shared" si="3"/>
        <v>0</v>
      </c>
      <c r="F30" s="22" t="s">
        <v>59</v>
      </c>
      <c r="G30" s="63"/>
      <c r="H30" s="65"/>
      <c r="I30" s="66">
        <f t="shared" si="0"/>
        <v>0</v>
      </c>
      <c r="J30" s="8">
        <f>ROUND(H30/$H$40%,2)</f>
        <v>0</v>
      </c>
    </row>
    <row r="31" spans="1:10" ht="15.75">
      <c r="A31" s="20" t="s">
        <v>60</v>
      </c>
      <c r="B31" s="63">
        <v>232</v>
      </c>
      <c r="C31" s="64">
        <v>0</v>
      </c>
      <c r="D31" s="87">
        <f>B31*C31</f>
        <v>0</v>
      </c>
      <c r="E31" s="8">
        <f t="shared" si="3"/>
        <v>0</v>
      </c>
      <c r="F31" s="7" t="s">
        <v>61</v>
      </c>
      <c r="G31" s="63">
        <f>B18</f>
        <v>30</v>
      </c>
      <c r="H31" s="65">
        <v>240</v>
      </c>
      <c r="I31" s="66">
        <f t="shared" si="0"/>
        <v>2.55</v>
      </c>
      <c r="J31" s="8">
        <f>ROUND(H31/$H$40%,2)</f>
        <v>1.5</v>
      </c>
    </row>
    <row r="32" spans="1:10" ht="15.75">
      <c r="A32" s="23" t="s">
        <v>62</v>
      </c>
      <c r="B32" s="86" t="s">
        <v>10</v>
      </c>
      <c r="C32" s="87" t="s">
        <v>10</v>
      </c>
      <c r="D32" s="87">
        <f>SUM(D26:D31)</f>
        <v>4586.37</v>
      </c>
      <c r="E32" s="8" t="s">
        <v>10</v>
      </c>
      <c r="F32" s="24" t="s">
        <v>63</v>
      </c>
      <c r="G32" s="63"/>
      <c r="H32" s="65"/>
      <c r="I32" s="66">
        <f t="shared" si="0"/>
        <v>0</v>
      </c>
      <c r="J32" s="88"/>
    </row>
    <row r="33" spans="1:10" ht="15.75">
      <c r="A33" s="20" t="s">
        <v>64</v>
      </c>
      <c r="B33" s="65">
        <v>8442</v>
      </c>
      <c r="C33" s="64" t="s">
        <v>10</v>
      </c>
      <c r="D33" s="65">
        <v>8442</v>
      </c>
      <c r="E33" s="8">
        <f t="shared" si="3"/>
        <v>64.8</v>
      </c>
      <c r="F33" s="25">
        <v>0.25</v>
      </c>
      <c r="G33" s="63">
        <v>200</v>
      </c>
      <c r="H33" s="65">
        <f>F33*G33</f>
        <v>50</v>
      </c>
      <c r="I33" s="66">
        <f t="shared" si="0"/>
        <v>0.53</v>
      </c>
      <c r="J33" s="8">
        <f>ROUND(H33/$H$40%,2)</f>
        <v>0.31</v>
      </c>
    </row>
    <row r="34" spans="1:10" ht="15.75">
      <c r="A34" s="26" t="s">
        <v>65</v>
      </c>
      <c r="B34" s="86" t="s">
        <v>10</v>
      </c>
      <c r="C34" s="87" t="s">
        <v>10</v>
      </c>
      <c r="D34" s="87">
        <f>SUM(D32:D33)</f>
        <v>13028.369999999999</v>
      </c>
      <c r="E34" s="91">
        <f t="shared" si="3"/>
        <v>100</v>
      </c>
      <c r="F34" s="25">
        <v>1</v>
      </c>
      <c r="G34" s="63">
        <v>119</v>
      </c>
      <c r="H34" s="65">
        <f>F34*G34</f>
        <v>119</v>
      </c>
      <c r="I34" s="66">
        <f t="shared" si="0"/>
        <v>1.26</v>
      </c>
      <c r="J34" s="8">
        <f>ROUND(H34/$H$40%,2)</f>
        <v>0.74</v>
      </c>
    </row>
    <row r="35" spans="1:10" ht="15.75">
      <c r="A35" s="214"/>
      <c r="B35" s="215"/>
      <c r="C35" s="215"/>
      <c r="D35" s="215"/>
      <c r="E35" s="216"/>
      <c r="F35" s="7" t="s">
        <v>66</v>
      </c>
      <c r="G35" s="63"/>
      <c r="H35" s="65">
        <v>647</v>
      </c>
      <c r="I35" s="66">
        <f t="shared" si="0"/>
        <v>6.86</v>
      </c>
      <c r="J35" s="8">
        <f>ROUND(H35/$H$40%,2)</f>
        <v>4.05</v>
      </c>
    </row>
    <row r="36" spans="1:10" ht="15.75">
      <c r="A36" s="27" t="s">
        <v>67</v>
      </c>
      <c r="B36" s="92">
        <v>78.01393939394167</v>
      </c>
      <c r="C36" s="93" t="s">
        <v>10</v>
      </c>
      <c r="D36" s="93" t="s">
        <v>10</v>
      </c>
      <c r="E36" s="28"/>
      <c r="F36" s="7" t="s">
        <v>240</v>
      </c>
      <c r="G36" s="63"/>
      <c r="H36" s="65">
        <v>789.82</v>
      </c>
      <c r="I36" s="66">
        <f t="shared" si="0"/>
        <v>8.38</v>
      </c>
      <c r="J36" s="8">
        <f>ROUND(H36/$H$40%,2)</f>
        <v>4.94</v>
      </c>
    </row>
    <row r="37" spans="1:10" ht="15.75">
      <c r="A37" s="29" t="s">
        <v>68</v>
      </c>
      <c r="B37" s="94" t="s">
        <v>10</v>
      </c>
      <c r="C37" s="95" t="s">
        <v>10</v>
      </c>
      <c r="D37" s="151">
        <f>ROUND(D34-H40,2)</f>
        <v>-2953.18</v>
      </c>
      <c r="E37" s="30"/>
      <c r="F37" s="31"/>
      <c r="G37" s="80"/>
      <c r="H37" s="80"/>
      <c r="I37" s="96">
        <f t="shared" si="0"/>
        <v>0</v>
      </c>
      <c r="J37" s="8">
        <f>ROUND(H37/$H$40%,2)</f>
        <v>0</v>
      </c>
    </row>
    <row r="38" spans="1:10" ht="15.75">
      <c r="A38" s="33" t="s">
        <v>69</v>
      </c>
      <c r="B38" s="98" t="s">
        <v>10</v>
      </c>
      <c r="C38" s="98" t="s">
        <v>10</v>
      </c>
      <c r="D38" s="93">
        <f>ROUND(D37/H40%,2)</f>
        <v>-18.48</v>
      </c>
      <c r="E38" s="32"/>
      <c r="F38" s="31"/>
      <c r="G38" s="80"/>
      <c r="H38" s="80"/>
      <c r="I38" s="96"/>
      <c r="J38" s="97"/>
    </row>
    <row r="39" spans="1:10" ht="15.75">
      <c r="A39" s="198" t="s">
        <v>245</v>
      </c>
      <c r="B39" s="199" t="s">
        <v>10</v>
      </c>
      <c r="C39" s="200" t="s">
        <v>10</v>
      </c>
      <c r="D39" s="201">
        <f>D34-SUM(H5,H8:H9,H22:H23)</f>
        <v>527.5200000000004</v>
      </c>
      <c r="E39" s="34"/>
      <c r="F39" s="31"/>
      <c r="G39" s="80"/>
      <c r="H39" s="80"/>
      <c r="I39" s="96">
        <f t="shared" si="0"/>
        <v>0</v>
      </c>
      <c r="J39" s="99"/>
    </row>
    <row r="40" spans="1:10" ht="16.5" thickBot="1">
      <c r="A40" s="202" t="s">
        <v>246</v>
      </c>
      <c r="B40" s="203" t="s">
        <v>10</v>
      </c>
      <c r="C40" s="203" t="s">
        <v>10</v>
      </c>
      <c r="D40" s="204">
        <f>ROUND(D39/SUM(H5,H8:H9,H23,H22)%,2)</f>
        <v>4.22</v>
      </c>
      <c r="E40" s="36"/>
      <c r="F40" s="37" t="s">
        <v>70</v>
      </c>
      <c r="G40" s="102"/>
      <c r="H40" s="103">
        <f>SUM(H5,H8,H9,H19:H37)</f>
        <v>15981.549999999997</v>
      </c>
      <c r="I40" s="104">
        <f t="shared" si="0"/>
        <v>169.49</v>
      </c>
      <c r="J40" s="105">
        <f>SUM(J5,J8,J9,J19:J37)</f>
        <v>99.98</v>
      </c>
    </row>
    <row r="41" ht="16.5" thickTop="1"/>
    <row r="43" spans="1:10" ht="15.75">
      <c r="A43"/>
      <c r="B43"/>
      <c r="C43"/>
      <c r="D43"/>
      <c r="E43"/>
      <c r="F43"/>
      <c r="G43"/>
      <c r="H43"/>
      <c r="I43"/>
      <c r="J43"/>
    </row>
    <row r="44" spans="1:10" ht="15.75">
      <c r="A44"/>
      <c r="B44"/>
      <c r="C44"/>
      <c r="D44"/>
      <c r="E44"/>
      <c r="F44"/>
      <c r="G44"/>
      <c r="H44"/>
      <c r="I44"/>
      <c r="J44"/>
    </row>
    <row r="45" spans="1:10" ht="15.75">
      <c r="A45"/>
      <c r="B45"/>
      <c r="C45"/>
      <c r="D45"/>
      <c r="E45"/>
      <c r="F45"/>
      <c r="G45"/>
      <c r="H45"/>
      <c r="I45"/>
      <c r="J45"/>
    </row>
    <row r="46" spans="1:10" ht="15.75">
      <c r="A46"/>
      <c r="B46"/>
      <c r="C46"/>
      <c r="D46"/>
      <c r="E46"/>
      <c r="F46"/>
      <c r="G46"/>
      <c r="H46"/>
      <c r="I46"/>
      <c r="J46"/>
    </row>
    <row r="47" spans="1:10" ht="15.75">
      <c r="A47"/>
      <c r="B47"/>
      <c r="C47"/>
      <c r="D47"/>
      <c r="E47"/>
      <c r="F47"/>
      <c r="G47"/>
      <c r="H47"/>
      <c r="I47"/>
      <c r="J47"/>
    </row>
    <row r="48" spans="1:10" ht="15.75">
      <c r="A48"/>
      <c r="B48"/>
      <c r="C48"/>
      <c r="D48"/>
      <c r="E48"/>
      <c r="F48"/>
      <c r="G48"/>
      <c r="H48"/>
      <c r="I48"/>
      <c r="J48"/>
    </row>
    <row r="49" spans="1:10" ht="15.75">
      <c r="A49"/>
      <c r="B49"/>
      <c r="C49"/>
      <c r="D49"/>
      <c r="E49"/>
      <c r="F49"/>
      <c r="G49"/>
      <c r="H49"/>
      <c r="I49"/>
      <c r="J49"/>
    </row>
    <row r="50" spans="1:10" ht="15.75">
      <c r="A50"/>
      <c r="B50"/>
      <c r="C50"/>
      <c r="D50"/>
      <c r="E50"/>
      <c r="F50"/>
      <c r="G50"/>
      <c r="H50"/>
      <c r="I50"/>
      <c r="J50"/>
    </row>
    <row r="51" spans="1:10" ht="15.75">
      <c r="A51"/>
      <c r="B51"/>
      <c r="C51"/>
      <c r="D51"/>
      <c r="E51"/>
      <c r="F51"/>
      <c r="G51"/>
      <c r="H51"/>
      <c r="I51"/>
      <c r="J51"/>
    </row>
    <row r="52" spans="1:10" ht="15.75">
      <c r="A52"/>
      <c r="B52"/>
      <c r="C52"/>
      <c r="D52"/>
      <c r="E52"/>
      <c r="F52"/>
      <c r="G52"/>
      <c r="H52"/>
      <c r="I52"/>
      <c r="J52"/>
    </row>
    <row r="53" spans="1:10" ht="15.75">
      <c r="A53"/>
      <c r="B53"/>
      <c r="C53"/>
      <c r="D53"/>
      <c r="E53"/>
      <c r="F53"/>
      <c r="G53"/>
      <c r="H53"/>
      <c r="I53"/>
      <c r="J53"/>
    </row>
    <row r="54" spans="1:10" ht="15.75">
      <c r="A54"/>
      <c r="B54"/>
      <c r="C54"/>
      <c r="D54"/>
      <c r="E54"/>
      <c r="F54"/>
      <c r="G54"/>
      <c r="H54"/>
      <c r="I54"/>
      <c r="J54"/>
    </row>
    <row r="55" spans="1:10" ht="15.75">
      <c r="A55"/>
      <c r="B55"/>
      <c r="C55"/>
      <c r="D55"/>
      <c r="E55"/>
      <c r="F55"/>
      <c r="G55"/>
      <c r="H55"/>
      <c r="I55"/>
      <c r="J55"/>
    </row>
    <row r="56" spans="1:10" ht="15.75">
      <c r="A56"/>
      <c r="B56"/>
      <c r="C56"/>
      <c r="D56"/>
      <c r="E56"/>
      <c r="F56"/>
      <c r="G56"/>
      <c r="H56"/>
      <c r="I56"/>
      <c r="J56"/>
    </row>
    <row r="57" spans="1:10" ht="15.75">
      <c r="A57"/>
      <c r="B57"/>
      <c r="C57"/>
      <c r="D57"/>
      <c r="E57"/>
      <c r="F57"/>
      <c r="G57"/>
      <c r="H57"/>
      <c r="I57"/>
      <c r="J57"/>
    </row>
    <row r="58" spans="1:10" ht="15.75">
      <c r="A58"/>
      <c r="B58"/>
      <c r="C58"/>
      <c r="D58"/>
      <c r="E58"/>
      <c r="F58"/>
      <c r="G58"/>
      <c r="H58"/>
      <c r="I58"/>
      <c r="J58"/>
    </row>
    <row r="59" spans="1:10" ht="15.75">
      <c r="A59"/>
      <c r="B59"/>
      <c r="C59"/>
      <c r="D59"/>
      <c r="E59"/>
      <c r="F59"/>
      <c r="G59"/>
      <c r="H59"/>
      <c r="I59"/>
      <c r="J59"/>
    </row>
    <row r="60" spans="1:10" ht="15.75">
      <c r="A60"/>
      <c r="B60"/>
      <c r="C60"/>
      <c r="D60"/>
      <c r="E60"/>
      <c r="F60"/>
      <c r="G60"/>
      <c r="H60"/>
      <c r="I60"/>
      <c r="J60"/>
    </row>
    <row r="61" spans="1:10" ht="15.75">
      <c r="A61"/>
      <c r="B61"/>
      <c r="C61"/>
      <c r="D61"/>
      <c r="E61"/>
      <c r="F61"/>
      <c r="G61"/>
      <c r="H61"/>
      <c r="I61"/>
      <c r="J61"/>
    </row>
    <row r="62" spans="1:10" ht="15.75">
      <c r="A62"/>
      <c r="B62"/>
      <c r="C62"/>
      <c r="D62"/>
      <c r="E62"/>
      <c r="F62"/>
      <c r="G62"/>
      <c r="H62"/>
      <c r="I62"/>
      <c r="J62"/>
    </row>
    <row r="63" spans="1:10" ht="15.75">
      <c r="A63"/>
      <c r="B63"/>
      <c r="C63"/>
      <c r="D63"/>
      <c r="E63"/>
      <c r="F63"/>
      <c r="G63"/>
      <c r="H63"/>
      <c r="I63"/>
      <c r="J63"/>
    </row>
    <row r="64" spans="1:10" ht="15.75">
      <c r="A64"/>
      <c r="B64"/>
      <c r="C64"/>
      <c r="D64"/>
      <c r="E64"/>
      <c r="F64"/>
      <c r="G64"/>
      <c r="H64"/>
      <c r="I64"/>
      <c r="J64"/>
    </row>
    <row r="65" spans="1:10" ht="15.75">
      <c r="A65"/>
      <c r="B65"/>
      <c r="C65"/>
      <c r="D65"/>
      <c r="E65"/>
      <c r="F65"/>
      <c r="G65"/>
      <c r="H65"/>
      <c r="I65"/>
      <c r="J65"/>
    </row>
    <row r="66" spans="1:10" ht="15.75">
      <c r="A66"/>
      <c r="B66"/>
      <c r="C66"/>
      <c r="D66"/>
      <c r="E66"/>
      <c r="F66"/>
      <c r="G66"/>
      <c r="H66"/>
      <c r="I66"/>
      <c r="J66"/>
    </row>
    <row r="67" spans="1:10" ht="15.75">
      <c r="A67"/>
      <c r="B67"/>
      <c r="C67"/>
      <c r="D67"/>
      <c r="E67"/>
      <c r="F67"/>
      <c r="G67"/>
      <c r="H67"/>
      <c r="I67"/>
      <c r="J67"/>
    </row>
    <row r="68" spans="1:10" ht="15.75">
      <c r="A68"/>
      <c r="B68"/>
      <c r="C68"/>
      <c r="D68"/>
      <c r="E68"/>
      <c r="F68"/>
      <c r="G68"/>
      <c r="H68"/>
      <c r="I68"/>
      <c r="J68"/>
    </row>
    <row r="69" spans="1:10" ht="15.75">
      <c r="A69"/>
      <c r="B69"/>
      <c r="C69"/>
      <c r="D69"/>
      <c r="E69"/>
      <c r="F69"/>
      <c r="G69"/>
      <c r="H69"/>
      <c r="I69"/>
      <c r="J69"/>
    </row>
    <row r="70" spans="1:10" ht="15.75">
      <c r="A70"/>
      <c r="B70"/>
      <c r="C70"/>
      <c r="D70"/>
      <c r="E70"/>
      <c r="F70"/>
      <c r="G70"/>
      <c r="H70"/>
      <c r="I70"/>
      <c r="J70"/>
    </row>
    <row r="71" spans="1:10" ht="15.75">
      <c r="A71"/>
      <c r="B71"/>
      <c r="C71"/>
      <c r="D71"/>
      <c r="E71"/>
      <c r="F71"/>
      <c r="G71"/>
      <c r="H71"/>
      <c r="I71"/>
      <c r="J71"/>
    </row>
    <row r="72" spans="1:10" ht="15.75">
      <c r="A72"/>
      <c r="B72"/>
      <c r="C72"/>
      <c r="D72"/>
      <c r="E72"/>
      <c r="F72"/>
      <c r="G72"/>
      <c r="H72"/>
      <c r="I72"/>
      <c r="J72"/>
    </row>
    <row r="73" spans="1:10" ht="15.75">
      <c r="A73"/>
      <c r="B73"/>
      <c r="C73"/>
      <c r="D73"/>
      <c r="E73"/>
      <c r="F73"/>
      <c r="G73"/>
      <c r="H73"/>
      <c r="I73"/>
      <c r="J73"/>
    </row>
    <row r="74" spans="1:10" ht="15.75">
      <c r="A74"/>
      <c r="B74"/>
      <c r="C74"/>
      <c r="D74"/>
      <c r="E74"/>
      <c r="F74"/>
      <c r="G74"/>
      <c r="H74"/>
      <c r="I74"/>
      <c r="J74"/>
    </row>
    <row r="75" spans="1:10" ht="15.75">
      <c r="A75"/>
      <c r="B75"/>
      <c r="C75"/>
      <c r="D75"/>
      <c r="E75"/>
      <c r="F75"/>
      <c r="G75"/>
      <c r="H75"/>
      <c r="I75"/>
      <c r="J75"/>
    </row>
    <row r="76" spans="1:10" ht="15.75">
      <c r="A76"/>
      <c r="B76"/>
      <c r="C76"/>
      <c r="D76"/>
      <c r="E76"/>
      <c r="F76"/>
      <c r="G76"/>
      <c r="H76"/>
      <c r="I76"/>
      <c r="J76"/>
    </row>
    <row r="77" spans="1:10" ht="15.75">
      <c r="A77"/>
      <c r="B77"/>
      <c r="C77"/>
      <c r="D77"/>
      <c r="E77"/>
      <c r="F77"/>
      <c r="G77"/>
      <c r="H77"/>
      <c r="I77"/>
      <c r="J77"/>
    </row>
    <row r="78" spans="1:10" ht="15.75">
      <c r="A78"/>
      <c r="B78"/>
      <c r="C78"/>
      <c r="D78"/>
      <c r="E78"/>
      <c r="F78"/>
      <c r="G78"/>
      <c r="H78"/>
      <c r="I78"/>
      <c r="J78"/>
    </row>
    <row r="79" spans="1:10" ht="15.75">
      <c r="A79"/>
      <c r="B79"/>
      <c r="C79"/>
      <c r="D79"/>
      <c r="E79"/>
      <c r="F79"/>
      <c r="G79"/>
      <c r="H79"/>
      <c r="I79"/>
      <c r="J79"/>
    </row>
    <row r="80" spans="1:10" ht="15.75">
      <c r="A80"/>
      <c r="B80"/>
      <c r="C80"/>
      <c r="D80"/>
      <c r="E80"/>
      <c r="F80"/>
      <c r="G80"/>
      <c r="H80"/>
      <c r="I80"/>
      <c r="J80"/>
    </row>
  </sheetData>
  <mergeCells count="11">
    <mergeCell ref="A1:J1"/>
    <mergeCell ref="J11:J12"/>
    <mergeCell ref="A20:E20"/>
    <mergeCell ref="A35:E35"/>
    <mergeCell ref="A3:E3"/>
    <mergeCell ref="F3:J3"/>
    <mergeCell ref="D4:E4"/>
    <mergeCell ref="D5:E19"/>
    <mergeCell ref="G11:G12"/>
    <mergeCell ref="H11:H12"/>
    <mergeCell ref="I11:I12"/>
  </mergeCells>
  <printOptions horizontalCentered="1" verticalCentered="1"/>
  <pageMargins left="0.2755905511811024" right="0.31496062992125984" top="0.57" bottom="0.59" header="0.37" footer="0"/>
  <pageSetup horizontalDpi="600" verticalDpi="600" orientation="landscape" paperSize="9" scale="79" r:id="rId1"/>
  <headerFooter alignWithMargins="0">
    <oddHeader>&amp;R&amp;14&amp;A &amp;12&amp;P. lappuse</oddHeader>
    <oddFooter>&amp;CStratēģijas un kopsavilkuma nodaļa
Dainis Saukāns, tel 7027346, fakss 7027514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6">
      <selection activeCell="D21" sqref="D21"/>
    </sheetView>
  </sheetViews>
  <sheetFormatPr defaultColWidth="9.00390625" defaultRowHeight="15.75"/>
  <sheetData>
    <row r="2" spans="2:9" ht="15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</row>
    <row r="3" spans="1:9" ht="15.75">
      <c r="A3" t="s">
        <v>224</v>
      </c>
      <c r="B3">
        <v>3500</v>
      </c>
      <c r="C3">
        <v>3800</v>
      </c>
      <c r="D3">
        <v>3900</v>
      </c>
      <c r="E3">
        <v>3800</v>
      </c>
      <c r="F3">
        <v>2200</v>
      </c>
      <c r="G3">
        <v>1100</v>
      </c>
      <c r="H3">
        <v>700</v>
      </c>
      <c r="I3">
        <v>400</v>
      </c>
    </row>
    <row r="4" spans="1:9" ht="15.75">
      <c r="A4" t="s">
        <v>225</v>
      </c>
      <c r="B4">
        <v>347</v>
      </c>
      <c r="C4">
        <v>356</v>
      </c>
      <c r="D4">
        <v>348</v>
      </c>
      <c r="E4">
        <v>309</v>
      </c>
      <c r="F4">
        <v>139</v>
      </c>
      <c r="G4">
        <v>166</v>
      </c>
      <c r="H4">
        <v>134</v>
      </c>
      <c r="I4">
        <v>143.1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7">
      <selection activeCell="F34" sqref="F34"/>
    </sheetView>
  </sheetViews>
  <sheetFormatPr defaultColWidth="9.00390625" defaultRowHeight="15.75"/>
  <cols>
    <col min="1" max="1" width="38.625" style="0" customWidth="1"/>
    <col min="2" max="2" width="7.375" style="0" bestFit="1" customWidth="1"/>
    <col min="3" max="5" width="7.875" style="0" bestFit="1" customWidth="1"/>
    <col min="6" max="9" width="7.375" style="0" bestFit="1" customWidth="1"/>
  </cols>
  <sheetData>
    <row r="1" spans="1:8" ht="16.5" thickTop="1">
      <c r="A1" s="190"/>
      <c r="B1" s="181" t="s">
        <v>226</v>
      </c>
      <c r="C1" s="181" t="s">
        <v>227</v>
      </c>
      <c r="D1" s="181" t="s">
        <v>228</v>
      </c>
      <c r="E1" s="181" t="s">
        <v>229</v>
      </c>
      <c r="F1" s="181" t="s">
        <v>230</v>
      </c>
      <c r="G1" s="181" t="s">
        <v>231</v>
      </c>
      <c r="H1" s="182" t="s">
        <v>232</v>
      </c>
    </row>
    <row r="2" spans="1:8" ht="18.75">
      <c r="A2" s="191" t="s">
        <v>234</v>
      </c>
      <c r="B2" s="192">
        <v>183.7</v>
      </c>
      <c r="C2" s="192">
        <v>164.7</v>
      </c>
      <c r="D2" s="192">
        <v>114</v>
      </c>
      <c r="E2" s="192">
        <v>86.3</v>
      </c>
      <c r="F2" s="192">
        <v>72.1</v>
      </c>
      <c r="G2" s="192">
        <v>55.5</v>
      </c>
      <c r="H2" s="193">
        <v>40.7</v>
      </c>
    </row>
    <row r="3" spans="1:8" ht="15.75">
      <c r="A3" s="9" t="s">
        <v>235</v>
      </c>
      <c r="B3" s="67">
        <v>109.3</v>
      </c>
      <c r="C3" s="67">
        <v>99.7</v>
      </c>
      <c r="D3" s="67">
        <v>64.2</v>
      </c>
      <c r="E3" s="67">
        <v>57.4</v>
      </c>
      <c r="F3" s="67">
        <v>46.6</v>
      </c>
      <c r="G3" s="67">
        <v>35.7</v>
      </c>
      <c r="H3" s="194">
        <v>25.1</v>
      </c>
    </row>
    <row r="4" spans="1:8" ht="15.75">
      <c r="A4" s="9" t="s">
        <v>233</v>
      </c>
      <c r="B4" s="67">
        <f aca="true" t="shared" si="0" ref="B4:H4">B2-B3</f>
        <v>74.39999999999999</v>
      </c>
      <c r="C4" s="67">
        <f t="shared" si="0"/>
        <v>64.99999999999999</v>
      </c>
      <c r="D4" s="67">
        <f t="shared" si="0"/>
        <v>49.8</v>
      </c>
      <c r="E4" s="67">
        <f t="shared" si="0"/>
        <v>28.9</v>
      </c>
      <c r="F4" s="67">
        <f t="shared" si="0"/>
        <v>25.499999999999993</v>
      </c>
      <c r="G4" s="67">
        <f t="shared" si="0"/>
        <v>19.799999999999997</v>
      </c>
      <c r="H4" s="69">
        <f t="shared" si="0"/>
        <v>15.600000000000001</v>
      </c>
    </row>
    <row r="5" spans="1:8" ht="15.75">
      <c r="A5" s="195" t="s">
        <v>236</v>
      </c>
      <c r="B5" s="65">
        <v>24.4</v>
      </c>
      <c r="C5" s="65">
        <v>8.7</v>
      </c>
      <c r="D5" s="65">
        <v>1.4</v>
      </c>
      <c r="E5" s="65">
        <v>1.1</v>
      </c>
      <c r="F5" s="65">
        <v>1</v>
      </c>
      <c r="G5" s="65">
        <v>0.5</v>
      </c>
      <c r="H5" s="197">
        <v>0.3</v>
      </c>
    </row>
    <row r="6" spans="1:8" ht="15.75">
      <c r="A6" s="195" t="s">
        <v>237</v>
      </c>
      <c r="B6" s="65">
        <v>159.3</v>
      </c>
      <c r="C6" s="65">
        <v>156</v>
      </c>
      <c r="D6" s="65">
        <v>112.6</v>
      </c>
      <c r="E6" s="65">
        <v>85.2</v>
      </c>
      <c r="F6" s="65">
        <v>71.1</v>
      </c>
      <c r="G6" s="65">
        <v>55</v>
      </c>
      <c r="H6" s="197">
        <v>42.9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9.00390625" defaultRowHeight="15.75"/>
  <sheetData/>
  <printOptions horizontalCentered="1" verticalCentered="1"/>
  <pageMargins left="0.2755905511811024" right="0.31496062992125984" top="0.24" bottom="0.25" header="0.24" footer="0.35"/>
  <pageSetup horizontalDpi="600" verticalDpi="600" orientation="landscape" paperSize="9" scale="82" r:id="rId1"/>
  <headerFooter alignWithMargins="0">
    <oddHeader>&amp;C&amp;F &amp;A&amp;R&amp;D</oddHeader>
    <oddFooter>&amp;CStratēģijas un kopsavilkuma nodaļa
Dainis Saukāns, tel 7027346, fakss 7027514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9.00390625" defaultRowHeight="15.75"/>
  <sheetData/>
  <printOptions horizontalCentered="1" verticalCentered="1"/>
  <pageMargins left="0.2755905511811024" right="0.31496062992125984" top="0.24" bottom="0.25" header="0.24" footer="0.35"/>
  <pageSetup horizontalDpi="600" verticalDpi="600" orientation="landscape" paperSize="9" scale="82" r:id="rId1"/>
  <headerFooter alignWithMargins="0">
    <oddHeader>&amp;C&amp;F &amp;A&amp;R&amp;D</oddHeader>
    <oddFooter>&amp;CStratēģijas un kopsavilkuma nodaļa
Dainis Saukāns, tel 7027346, fakss 7027514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9.00390625" defaultRowHeight="15.75"/>
  <sheetData/>
  <printOptions horizontalCentered="1" verticalCentered="1"/>
  <pageMargins left="0.2755905511811024" right="0.31496062992125984" top="0.24" bottom="0.25" header="0.24" footer="0.35"/>
  <pageSetup horizontalDpi="600" verticalDpi="600" orientation="landscape" paperSize="9" scale="82" r:id="rId1"/>
  <headerFooter alignWithMargins="0">
    <oddHeader>&amp;C&amp;F &amp;A&amp;R&amp;D</oddHeader>
    <oddFooter>&amp;CStratēģijas un kopsavilkuma nodaļa
Dainis Saukāns, tel 7027346, fakss 7027514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9.00390625" defaultRowHeight="15.75"/>
  <sheetData/>
  <printOptions horizontalCentered="1" verticalCentered="1"/>
  <pageMargins left="0.2755905511811024" right="0.31496062992125984" top="0.24" bottom="0.25" header="0.24" footer="0.35"/>
  <pageSetup horizontalDpi="600" verticalDpi="600" orientation="landscape" paperSize="9" scale="82" r:id="rId1"/>
  <headerFooter alignWithMargins="0">
    <oddHeader>&amp;C&amp;F &amp;A&amp;R&amp;D</oddHeader>
    <oddFooter>&amp;CStratēģijas un kopsavilkuma nodaļa
Dainis Saukāns, tel 7027346, fakss 7027514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3">
      <pane xSplit="1" ySplit="2" topLeftCell="H17" activePane="bottomRight" state="frozen"/>
      <selection pane="topLeft" activeCell="D37" sqref="D37:D38"/>
      <selection pane="topRight" activeCell="D37" sqref="D37:D38"/>
      <selection pane="bottomLeft" activeCell="D37" sqref="D37:D38"/>
      <selection pane="bottomRight" activeCell="D37" sqref="D37:D38"/>
    </sheetView>
  </sheetViews>
  <sheetFormatPr defaultColWidth="9.00390625" defaultRowHeight="15.75"/>
  <cols>
    <col min="1" max="1" width="22.75390625" style="0" customWidth="1"/>
    <col min="2" max="2" width="9.125" style="0" customWidth="1"/>
    <col min="3" max="4" width="9.50390625" style="0" customWidth="1"/>
    <col min="5" max="5" width="11.375" style="0" customWidth="1"/>
    <col min="6" max="6" width="14.00390625" style="0" customWidth="1"/>
    <col min="7" max="7" width="9.625" style="0" customWidth="1"/>
    <col min="8" max="8" width="12.25390625" style="0" customWidth="1"/>
    <col min="9" max="9" width="10.375" style="0" customWidth="1"/>
    <col min="10" max="10" width="29.25390625" style="0" customWidth="1"/>
    <col min="11" max="11" width="10.875" style="0" customWidth="1"/>
  </cols>
  <sheetData>
    <row r="2" spans="1:11" ht="20.25" thickBot="1">
      <c r="A2" s="225" t="s">
        <v>72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6.5" customHeight="1" thickTop="1">
      <c r="A3" s="226"/>
      <c r="B3" s="228" t="s">
        <v>73</v>
      </c>
      <c r="C3" s="229"/>
      <c r="D3" s="229"/>
      <c r="E3" s="230"/>
      <c r="F3" s="231" t="s">
        <v>109</v>
      </c>
      <c r="G3" s="231" t="s">
        <v>74</v>
      </c>
      <c r="H3" s="231" t="s">
        <v>75</v>
      </c>
      <c r="I3" s="231" t="s">
        <v>76</v>
      </c>
      <c r="J3" s="228" t="s">
        <v>78</v>
      </c>
      <c r="K3" s="233"/>
    </row>
    <row r="4" spans="1:11" ht="32.25" thickBot="1">
      <c r="A4" s="227"/>
      <c r="B4" s="38" t="s">
        <v>79</v>
      </c>
      <c r="C4" s="38" t="s">
        <v>80</v>
      </c>
      <c r="D4" s="38" t="s">
        <v>81</v>
      </c>
      <c r="E4" s="38" t="s">
        <v>82</v>
      </c>
      <c r="F4" s="232"/>
      <c r="G4" s="232"/>
      <c r="H4" s="232"/>
      <c r="I4" s="232"/>
      <c r="J4" s="39" t="s">
        <v>83</v>
      </c>
      <c r="K4" s="40" t="s">
        <v>2</v>
      </c>
    </row>
    <row r="5" spans="1:11" ht="31.5">
      <c r="A5" s="41" t="s">
        <v>84</v>
      </c>
      <c r="B5" s="234" t="s">
        <v>106</v>
      </c>
      <c r="C5" s="235"/>
      <c r="D5" s="42" t="s">
        <v>105</v>
      </c>
      <c r="E5" s="42" t="s">
        <v>124</v>
      </c>
      <c r="F5" s="42" t="s">
        <v>10</v>
      </c>
      <c r="G5" s="42" t="s">
        <v>10</v>
      </c>
      <c r="H5" s="42" t="s">
        <v>10</v>
      </c>
      <c r="I5" s="42" t="s">
        <v>10</v>
      </c>
      <c r="J5" s="43" t="s">
        <v>85</v>
      </c>
      <c r="K5" s="109">
        <v>1.25</v>
      </c>
    </row>
    <row r="6" spans="1:11" ht="15.75">
      <c r="A6" s="44" t="s">
        <v>86</v>
      </c>
      <c r="B6" s="45">
        <v>15</v>
      </c>
      <c r="C6" s="46">
        <v>17</v>
      </c>
      <c r="D6" s="46"/>
      <c r="E6" s="46">
        <v>13</v>
      </c>
      <c r="F6" s="46">
        <v>150</v>
      </c>
      <c r="G6" s="46"/>
      <c r="H6" s="46">
        <v>7.65</v>
      </c>
      <c r="I6" s="46"/>
      <c r="J6" s="43" t="s">
        <v>87</v>
      </c>
      <c r="K6" s="110">
        <v>1.43</v>
      </c>
    </row>
    <row r="7" spans="1:11" ht="15.75">
      <c r="A7" s="44" t="s">
        <v>107</v>
      </c>
      <c r="B7" s="45">
        <v>1.5</v>
      </c>
      <c r="C7" s="46">
        <v>1.5</v>
      </c>
      <c r="D7" s="46">
        <v>0.23</v>
      </c>
      <c r="E7" s="46">
        <v>1.2</v>
      </c>
      <c r="F7" s="46">
        <v>23</v>
      </c>
      <c r="G7" s="46"/>
      <c r="H7" s="46">
        <v>5.1</v>
      </c>
      <c r="I7" s="46">
        <v>6</v>
      </c>
      <c r="J7" s="43" t="s">
        <v>88</v>
      </c>
      <c r="K7" s="110">
        <v>70</v>
      </c>
    </row>
    <row r="8" spans="1:11" ht="31.5">
      <c r="A8" s="44"/>
      <c r="B8" s="115">
        <v>2</v>
      </c>
      <c r="C8" s="46"/>
      <c r="E8" s="46"/>
      <c r="F8" s="46"/>
      <c r="G8" s="46"/>
      <c r="H8" s="46"/>
      <c r="I8" s="46"/>
      <c r="J8" s="43" t="s">
        <v>89</v>
      </c>
      <c r="K8" s="110">
        <v>258</v>
      </c>
    </row>
    <row r="9" spans="1:11" ht="31.5">
      <c r="A9" s="44"/>
      <c r="B9" s="115">
        <v>7</v>
      </c>
      <c r="C9" s="46"/>
      <c r="D9" s="46"/>
      <c r="E9" s="46"/>
      <c r="F9" s="46"/>
      <c r="G9" s="46"/>
      <c r="H9" s="46"/>
      <c r="I9" s="46"/>
      <c r="J9" s="43" t="s">
        <v>114</v>
      </c>
      <c r="K9" s="110">
        <v>547</v>
      </c>
    </row>
    <row r="10" spans="1:11" ht="15.75">
      <c r="A10" s="44" t="s">
        <v>29</v>
      </c>
      <c r="B10" s="45">
        <v>4.3</v>
      </c>
      <c r="C10" s="46">
        <v>5</v>
      </c>
      <c r="D10" s="46"/>
      <c r="E10" s="46">
        <v>3.5</v>
      </c>
      <c r="F10" s="46">
        <v>45</v>
      </c>
      <c r="G10" s="46"/>
      <c r="H10" s="46">
        <v>19.37</v>
      </c>
      <c r="I10" s="46">
        <v>15</v>
      </c>
      <c r="J10" s="43" t="s">
        <v>90</v>
      </c>
      <c r="K10" s="110">
        <v>50</v>
      </c>
    </row>
    <row r="11" spans="1:11" ht="31.5">
      <c r="A11" s="44" t="s">
        <v>92</v>
      </c>
      <c r="B11" s="45">
        <v>2</v>
      </c>
      <c r="C11" s="46">
        <v>2</v>
      </c>
      <c r="D11" s="46">
        <v>0.35</v>
      </c>
      <c r="E11" s="115">
        <v>1</v>
      </c>
      <c r="F11" s="46">
        <v>350</v>
      </c>
      <c r="G11" s="46"/>
      <c r="H11" s="46">
        <v>1.5</v>
      </c>
      <c r="I11" s="46">
        <v>1.5</v>
      </c>
      <c r="J11" s="43" t="s">
        <v>91</v>
      </c>
      <c r="K11" s="110">
        <v>46</v>
      </c>
    </row>
    <row r="12" spans="1:11" ht="31.5">
      <c r="A12" s="113" t="s">
        <v>104</v>
      </c>
      <c r="B12" s="114">
        <v>1.2</v>
      </c>
      <c r="C12" s="83">
        <v>1.2</v>
      </c>
      <c r="D12" s="83">
        <v>0.2</v>
      </c>
      <c r="E12" s="83">
        <v>1.2</v>
      </c>
      <c r="F12" s="83" t="s">
        <v>108</v>
      </c>
      <c r="G12" s="83" t="s">
        <v>108</v>
      </c>
      <c r="H12" s="83" t="s">
        <v>108</v>
      </c>
      <c r="I12" s="83">
        <v>13</v>
      </c>
      <c r="J12" s="43" t="s">
        <v>93</v>
      </c>
      <c r="K12" s="110">
        <v>250</v>
      </c>
    </row>
    <row r="13" spans="1:11" ht="15.75" customHeight="1">
      <c r="A13" s="44" t="s">
        <v>31</v>
      </c>
      <c r="B13" s="45">
        <v>3</v>
      </c>
      <c r="C13" s="46">
        <v>4</v>
      </c>
      <c r="D13" s="46"/>
      <c r="E13" s="46">
        <v>2</v>
      </c>
      <c r="F13" s="46">
        <v>80</v>
      </c>
      <c r="G13" s="42"/>
      <c r="H13" s="42">
        <v>4.38</v>
      </c>
      <c r="I13" s="46"/>
      <c r="J13" s="43" t="s">
        <v>115</v>
      </c>
      <c r="K13" s="110"/>
    </row>
    <row r="14" spans="1:11" ht="15.75">
      <c r="A14" s="44" t="s">
        <v>33</v>
      </c>
      <c r="B14" s="115">
        <v>4</v>
      </c>
      <c r="C14" s="46"/>
      <c r="D14" s="46"/>
      <c r="F14" s="46"/>
      <c r="G14" s="42" t="s">
        <v>10</v>
      </c>
      <c r="H14" s="42" t="s">
        <v>10</v>
      </c>
      <c r="I14" s="46"/>
      <c r="J14" s="112" t="s">
        <v>116</v>
      </c>
      <c r="K14" s="110">
        <v>260</v>
      </c>
    </row>
    <row r="15" spans="1:11" ht="15.75">
      <c r="A15" s="44" t="s">
        <v>35</v>
      </c>
      <c r="B15" s="45"/>
      <c r="C15" s="46"/>
      <c r="D15" s="46"/>
      <c r="E15" s="46"/>
      <c r="F15" s="46"/>
      <c r="G15" s="46"/>
      <c r="H15" s="46"/>
      <c r="I15" s="46"/>
      <c r="J15" s="112" t="s">
        <v>117</v>
      </c>
      <c r="K15" s="110">
        <v>140</v>
      </c>
    </row>
    <row r="16" spans="1:11" ht="15.75">
      <c r="A16" s="47" t="s">
        <v>94</v>
      </c>
      <c r="B16" s="45">
        <v>1</v>
      </c>
      <c r="C16" s="46">
        <v>1</v>
      </c>
      <c r="D16" s="46" t="s">
        <v>108</v>
      </c>
      <c r="E16" s="46">
        <v>1</v>
      </c>
      <c r="F16" s="46"/>
      <c r="G16" s="46"/>
      <c r="H16" s="46"/>
      <c r="I16" s="46"/>
      <c r="J16" s="43"/>
      <c r="K16" s="110"/>
    </row>
    <row r="17" spans="1:11" ht="15.75">
      <c r="A17" s="48" t="s">
        <v>95</v>
      </c>
      <c r="B17" s="45"/>
      <c r="C17" s="46"/>
      <c r="D17" s="46"/>
      <c r="E17" s="46"/>
      <c r="F17" s="46"/>
      <c r="G17" s="42" t="s">
        <v>10</v>
      </c>
      <c r="H17" s="42" t="s">
        <v>10</v>
      </c>
      <c r="I17" s="46"/>
      <c r="J17" s="43"/>
      <c r="K17" s="110"/>
    </row>
    <row r="18" spans="1:11" ht="16.5" thickBot="1">
      <c r="A18" s="49" t="s">
        <v>96</v>
      </c>
      <c r="B18" s="50"/>
      <c r="C18" s="12"/>
      <c r="D18" s="12"/>
      <c r="E18" s="12"/>
      <c r="F18" s="12"/>
      <c r="G18" s="42" t="s">
        <v>10</v>
      </c>
      <c r="H18" s="42" t="s">
        <v>10</v>
      </c>
      <c r="I18" s="12"/>
      <c r="J18" s="43"/>
      <c r="K18" s="110"/>
    </row>
    <row r="19" spans="1:11" ht="48.75" thickBot="1" thickTop="1">
      <c r="A19" s="51" t="s">
        <v>97</v>
      </c>
      <c r="B19" s="52" t="s">
        <v>79</v>
      </c>
      <c r="C19" s="52" t="s">
        <v>80</v>
      </c>
      <c r="D19" s="52" t="s">
        <v>81</v>
      </c>
      <c r="E19" s="52" t="s">
        <v>82</v>
      </c>
      <c r="F19" s="52" t="s">
        <v>98</v>
      </c>
      <c r="G19" s="239" t="s">
        <v>99</v>
      </c>
      <c r="H19" s="240"/>
      <c r="I19" s="53" t="s">
        <v>77</v>
      </c>
      <c r="J19" s="54"/>
      <c r="K19" s="110"/>
    </row>
    <row r="20" spans="1:11" ht="15.75">
      <c r="A20" s="55" t="s">
        <v>100</v>
      </c>
      <c r="B20" s="106" t="s">
        <v>111</v>
      </c>
      <c r="C20" s="13" t="s">
        <v>112</v>
      </c>
      <c r="D20" s="13" t="s">
        <v>111</v>
      </c>
      <c r="E20" s="13" t="s">
        <v>112</v>
      </c>
      <c r="F20" s="236">
        <v>45.55</v>
      </c>
      <c r="G20" s="241"/>
      <c r="H20" s="242"/>
      <c r="I20" s="13"/>
      <c r="J20" s="43" t="s">
        <v>118</v>
      </c>
      <c r="K20" s="110">
        <v>60</v>
      </c>
    </row>
    <row r="21" spans="1:11" ht="15.75">
      <c r="A21" s="44" t="s">
        <v>101</v>
      </c>
      <c r="B21" s="107">
        <v>0.8</v>
      </c>
      <c r="C21" s="107">
        <v>0.8</v>
      </c>
      <c r="D21" s="107">
        <v>0.8</v>
      </c>
      <c r="E21" s="107">
        <v>0.8</v>
      </c>
      <c r="F21" s="237"/>
      <c r="G21" s="243"/>
      <c r="H21" s="244"/>
      <c r="I21" s="46"/>
      <c r="J21" s="43" t="s">
        <v>119</v>
      </c>
      <c r="K21" s="110">
        <v>100</v>
      </c>
    </row>
    <row r="22" spans="1:11" ht="15.75">
      <c r="A22" s="44" t="s">
        <v>113</v>
      </c>
      <c r="B22" s="45">
        <v>0.3</v>
      </c>
      <c r="C22" s="45">
        <v>0.3</v>
      </c>
      <c r="D22" s="45">
        <v>0.3</v>
      </c>
      <c r="E22" s="45">
        <v>0.3</v>
      </c>
      <c r="F22" s="237"/>
      <c r="G22" s="243"/>
      <c r="H22" s="244"/>
      <c r="I22" s="46"/>
      <c r="J22" s="43" t="s">
        <v>120</v>
      </c>
      <c r="K22" s="110">
        <v>50</v>
      </c>
    </row>
    <row r="23" spans="1:11" ht="31.5">
      <c r="A23" s="56" t="s">
        <v>102</v>
      </c>
      <c r="B23" s="108"/>
      <c r="C23" s="108"/>
      <c r="D23" s="108"/>
      <c r="E23" s="108"/>
      <c r="F23" s="237"/>
      <c r="G23" s="243"/>
      <c r="H23" s="244"/>
      <c r="I23" s="46"/>
      <c r="J23" s="43" t="s">
        <v>121</v>
      </c>
      <c r="K23" s="110">
        <v>53</v>
      </c>
    </row>
    <row r="24" spans="1:11" ht="18.75">
      <c r="A24" s="56" t="s">
        <v>110</v>
      </c>
      <c r="B24" s="108">
        <v>2.4</v>
      </c>
      <c r="C24" s="108">
        <v>2.5</v>
      </c>
      <c r="D24" s="108"/>
      <c r="E24" s="108">
        <v>0.9</v>
      </c>
      <c r="F24" s="238"/>
      <c r="G24" s="46"/>
      <c r="H24" s="46"/>
      <c r="I24" s="46"/>
      <c r="J24" s="43" t="s">
        <v>122</v>
      </c>
      <c r="K24" s="110">
        <v>4</v>
      </c>
    </row>
    <row r="25" spans="1:11" ht="32.25" thickBot="1">
      <c r="A25" s="57" t="s">
        <v>103</v>
      </c>
      <c r="B25" s="58"/>
      <c r="C25" s="59"/>
      <c r="D25" s="59"/>
      <c r="E25" s="59"/>
      <c r="F25" s="59"/>
      <c r="G25" s="59"/>
      <c r="H25" s="59"/>
      <c r="I25" s="59"/>
      <c r="J25" s="60" t="s">
        <v>123</v>
      </c>
      <c r="K25" s="111">
        <v>30</v>
      </c>
    </row>
    <row r="26" ht="16.5" thickTop="1"/>
  </sheetData>
  <mergeCells count="15">
    <mergeCell ref="B5:C5"/>
    <mergeCell ref="F3:F4"/>
    <mergeCell ref="F20:F24"/>
    <mergeCell ref="G19:H19"/>
    <mergeCell ref="G20:H20"/>
    <mergeCell ref="G21:H21"/>
    <mergeCell ref="G22:H22"/>
    <mergeCell ref="G23:H23"/>
    <mergeCell ref="A2:K2"/>
    <mergeCell ref="A3:A4"/>
    <mergeCell ref="B3:E3"/>
    <mergeCell ref="G3:G4"/>
    <mergeCell ref="H3:H4"/>
    <mergeCell ref="I3:I4"/>
    <mergeCell ref="J3:K3"/>
  </mergeCells>
  <printOptions horizontalCentered="1" verticalCentered="1"/>
  <pageMargins left="0.2755905511811024" right="0.31496062992125984" top="0.3937007874015748" bottom="0.5511811023622047" header="0" footer="0"/>
  <pageSetup horizontalDpi="600" verticalDpi="600" orientation="landscape" paperSize="9" scale="79" r:id="rId1"/>
  <headerFooter alignWithMargins="0">
    <oddHeader>&amp;R&amp;14&amp;A &amp;12&amp;P. lappuse</oddHeader>
    <oddFooter>&amp;CStratēģijas un kopsavilkuma nodaļa
Dainis Saukāns, tel 7027346, fakss 7027514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2">
      <selection activeCell="D37" sqref="D37:D38"/>
    </sheetView>
  </sheetViews>
  <sheetFormatPr defaultColWidth="9.00390625" defaultRowHeight="15.75"/>
  <cols>
    <col min="1" max="1" width="33.50390625" style="0" bestFit="1" customWidth="1"/>
    <col min="2" max="2" width="9.875" style="162" customWidth="1"/>
    <col min="3" max="3" width="8.50390625" style="162" customWidth="1"/>
    <col min="4" max="4" width="9.75390625" style="162" customWidth="1"/>
    <col min="5" max="5" width="8.125" style="0" customWidth="1"/>
    <col min="6" max="6" width="26.125" style="0" customWidth="1"/>
    <col min="7" max="7" width="10.00390625" style="0" customWidth="1"/>
    <col min="8" max="8" width="9.625" style="0" customWidth="1"/>
    <col min="9" max="9" width="7.625" style="0" customWidth="1"/>
    <col min="10" max="10" width="6.625" style="0" customWidth="1"/>
  </cols>
  <sheetData>
    <row r="1" ht="15.75">
      <c r="A1" t="s">
        <v>151</v>
      </c>
    </row>
    <row r="3" ht="15.75">
      <c r="A3" t="s">
        <v>152</v>
      </c>
    </row>
    <row r="5" ht="15.75">
      <c r="A5" s="165" t="s">
        <v>168</v>
      </c>
    </row>
    <row r="6" spans="1:3" ht="15.75">
      <c r="A6" t="s">
        <v>158</v>
      </c>
      <c r="B6" s="162">
        <v>7</v>
      </c>
      <c r="C6" s="162">
        <f>ROUND(B6*'2. pielikums'!B13,0)</f>
        <v>2329</v>
      </c>
    </row>
    <row r="7" spans="1:3" ht="15.75">
      <c r="A7" t="s">
        <v>159</v>
      </c>
      <c r="B7" s="162">
        <v>7</v>
      </c>
      <c r="C7" s="162">
        <f>ROUND(B7*'2. pielikums'!B14,0)</f>
        <v>49</v>
      </c>
    </row>
    <row r="8" spans="1:3" ht="15.75">
      <c r="A8" t="s">
        <v>160</v>
      </c>
      <c r="B8" s="162">
        <v>3</v>
      </c>
      <c r="C8" s="162">
        <f>ROUND(B8*'2. pielikums'!B15,0)</f>
        <v>1230</v>
      </c>
    </row>
    <row r="9" spans="1:3" ht="15.75">
      <c r="A9" t="s">
        <v>163</v>
      </c>
      <c r="C9" s="162">
        <f>SUM(C6:C8)</f>
        <v>3608</v>
      </c>
    </row>
    <row r="10" spans="1:2" ht="15.75">
      <c r="A10" t="s">
        <v>162</v>
      </c>
      <c r="B10" s="163">
        <f>ROUND('2. pielikums'!B9/10,1)</f>
        <v>5.6</v>
      </c>
    </row>
    <row r="11" spans="1:2" ht="15.75">
      <c r="A11" t="s">
        <v>161</v>
      </c>
      <c r="B11" s="162">
        <v>150</v>
      </c>
    </row>
    <row r="12" spans="1:2" ht="15.75">
      <c r="A12" t="s">
        <v>164</v>
      </c>
      <c r="B12" s="162">
        <v>0.25</v>
      </c>
    </row>
    <row r="13" spans="1:2" ht="15.75">
      <c r="A13" t="s">
        <v>165</v>
      </c>
      <c r="B13" s="164">
        <f>ROUND(C9/'2. pielikums'!B58*Dati!B11,0)</f>
        <v>169</v>
      </c>
    </row>
    <row r="14" spans="1:2" ht="15.75">
      <c r="A14" t="s">
        <v>166</v>
      </c>
      <c r="B14" s="162">
        <f>ROUND(B12*B10*B13,2)</f>
        <v>236.6</v>
      </c>
    </row>
    <row r="15" spans="1:2" ht="15.75">
      <c r="A15" t="s">
        <v>167</v>
      </c>
      <c r="B15" s="162">
        <f>ROUND(B14+(B14*15%),0)</f>
        <v>272</v>
      </c>
    </row>
    <row r="17" spans="1:2" ht="15.75">
      <c r="A17" t="s">
        <v>179</v>
      </c>
      <c r="B17" s="162">
        <v>7</v>
      </c>
    </row>
    <row r="19" spans="1:3" ht="15.75">
      <c r="A19" s="165" t="s">
        <v>183</v>
      </c>
      <c r="C19" s="162" t="s">
        <v>184</v>
      </c>
    </row>
    <row r="20" spans="1:3" ht="15.75">
      <c r="A20" s="165" t="s">
        <v>185</v>
      </c>
      <c r="B20" s="162">
        <v>215</v>
      </c>
      <c r="C20" s="175">
        <f>($B$17/365)*B20</f>
        <v>4.123287671232877</v>
      </c>
    </row>
    <row r="21" spans="1:4" ht="15.75">
      <c r="A21" t="s">
        <v>180</v>
      </c>
      <c r="B21" s="162">
        <v>70</v>
      </c>
      <c r="C21" s="162">
        <v>0.55</v>
      </c>
      <c r="D21" s="162">
        <f>ROUND($C$20*B21%/C21,2)</f>
        <v>5.25</v>
      </c>
    </row>
    <row r="22" spans="1:4" ht="15.75">
      <c r="A22" t="s">
        <v>182</v>
      </c>
      <c r="B22" s="162">
        <v>30</v>
      </c>
      <c r="C22" s="162">
        <v>1</v>
      </c>
      <c r="D22" s="162">
        <f>ROUND($C$20*B22%/C22,2)</f>
        <v>1.24</v>
      </c>
    </row>
    <row r="23" spans="1:3" ht="15.75">
      <c r="A23" s="165" t="s">
        <v>186</v>
      </c>
      <c r="B23" s="162">
        <v>150</v>
      </c>
      <c r="C23" s="175">
        <f>($B$17/365)*B23</f>
        <v>2.8767123287671232</v>
      </c>
    </row>
    <row r="24" spans="1:4" ht="15.75">
      <c r="A24" t="s">
        <v>182</v>
      </c>
      <c r="B24" s="162">
        <v>10</v>
      </c>
      <c r="C24" s="162">
        <v>1</v>
      </c>
      <c r="D24" s="162">
        <f>ROUND($C$23*B24%/C24,2)</f>
        <v>0.29</v>
      </c>
    </row>
    <row r="25" spans="1:4" ht="15.75">
      <c r="A25" t="s">
        <v>181</v>
      </c>
      <c r="B25" s="162">
        <v>90</v>
      </c>
      <c r="C25" s="162">
        <v>0.15</v>
      </c>
      <c r="D25" s="162">
        <f>ROUND($C$23*B25%/C25,2)</f>
        <v>17.26</v>
      </c>
    </row>
    <row r="26" ht="15.75">
      <c r="A26" s="165" t="s">
        <v>187</v>
      </c>
    </row>
    <row r="27" spans="1:2" ht="15.75">
      <c r="A27" t="s">
        <v>180</v>
      </c>
      <c r="B27" s="174">
        <f>D21/10</f>
        <v>0.525</v>
      </c>
    </row>
    <row r="28" spans="1:2" ht="15.75">
      <c r="A28" t="s">
        <v>182</v>
      </c>
      <c r="B28" s="174">
        <f>SUM(D22,D24)/10</f>
        <v>0.153</v>
      </c>
    </row>
    <row r="29" spans="1:2" ht="15.75">
      <c r="A29" t="s">
        <v>181</v>
      </c>
      <c r="B29" s="174">
        <f>D25/10</f>
        <v>1.7260000000000002</v>
      </c>
    </row>
  </sheetData>
  <printOptions horizontalCentered="1" verticalCentered="1"/>
  <pageMargins left="0.2755905511811024" right="0.31496062992125984" top="0.3937007874015748" bottom="0.5511811023622047" header="0" footer="0"/>
  <pageSetup horizontalDpi="600" verticalDpi="600" orientation="landscape" paperSize="9" scale="79" r:id="rId1"/>
  <headerFooter alignWithMargins="0">
    <oddHeader>&amp;R&amp;14&amp;A &amp;12&amp;P. lappuse</oddHeader>
    <oddFooter>&amp;CStratēģijas un kopsavilkuma nodaļa
Dainis Saukāns, tel 7027346, fakss 7027514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25">
      <selection activeCell="D35" sqref="D35"/>
    </sheetView>
  </sheetViews>
  <sheetFormatPr defaultColWidth="9.00390625" defaultRowHeight="15.75"/>
  <cols>
    <col min="1" max="1" width="28.125" style="61" customWidth="1"/>
    <col min="2" max="2" width="9.875" style="61" customWidth="1"/>
    <col min="3" max="3" width="8.50390625" style="61" customWidth="1"/>
    <col min="4" max="4" width="11.625" style="61" customWidth="1"/>
    <col min="5" max="5" width="9.625" style="61" customWidth="1"/>
    <col min="6" max="6" width="26.125" style="61" customWidth="1"/>
    <col min="7" max="7" width="10.00390625" style="61" customWidth="1"/>
    <col min="8" max="8" width="9.625" style="61" customWidth="1"/>
    <col min="9" max="9" width="7.625" style="61" customWidth="1"/>
    <col min="10" max="10" width="7.25390625" style="61" customWidth="1"/>
    <col min="11" max="11" width="10.25390625" style="0" customWidth="1"/>
  </cols>
  <sheetData>
    <row r="1" spans="1:10" ht="15.75">
      <c r="A1" s="222" t="s">
        <v>239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16.5" thickBot="1"/>
    <row r="3" spans="1:10" ht="17.25" thickTop="1">
      <c r="A3" s="217" t="s">
        <v>0</v>
      </c>
      <c r="B3" s="218"/>
      <c r="C3" s="218"/>
      <c r="D3" s="218"/>
      <c r="E3" s="219"/>
      <c r="F3" s="218" t="s">
        <v>1</v>
      </c>
      <c r="G3" s="205"/>
      <c r="H3" s="205"/>
      <c r="I3" s="205"/>
      <c r="J3" s="206"/>
    </row>
    <row r="4" spans="1:10" ht="31.5">
      <c r="A4" s="1" t="s">
        <v>2</v>
      </c>
      <c r="B4" s="2" t="s">
        <v>3</v>
      </c>
      <c r="C4" s="3" t="s">
        <v>4</v>
      </c>
      <c r="D4" s="207"/>
      <c r="E4" s="208"/>
      <c r="F4" s="4" t="s">
        <v>5</v>
      </c>
      <c r="G4" s="2" t="s">
        <v>3</v>
      </c>
      <c r="H4" s="2" t="s">
        <v>6</v>
      </c>
      <c r="I4" s="5" t="s">
        <v>7</v>
      </c>
      <c r="J4" s="6" t="s">
        <v>8</v>
      </c>
    </row>
    <row r="5" spans="1:10" ht="15.75">
      <c r="A5" s="62" t="s">
        <v>9</v>
      </c>
      <c r="B5" s="63"/>
      <c r="C5" s="64" t="s">
        <v>10</v>
      </c>
      <c r="D5" s="119"/>
      <c r="E5" s="120"/>
      <c r="F5" s="7" t="s">
        <v>11</v>
      </c>
      <c r="H5" s="65">
        <f>SUM(H6:H7)</f>
        <v>4320</v>
      </c>
      <c r="I5" s="66">
        <f aca="true" t="shared" si="0" ref="I5:I12">ROUND(H5/$B$25,2)</f>
        <v>37.7</v>
      </c>
      <c r="J5" s="8">
        <f>ROUND(H5/$H$38%,2)</f>
        <v>10.11</v>
      </c>
    </row>
    <row r="6" spans="1:10" ht="15.75">
      <c r="A6" s="9" t="s">
        <v>12</v>
      </c>
      <c r="B6" s="67">
        <f>ROUND(B12/250,0)</f>
        <v>3</v>
      </c>
      <c r="C6" s="63">
        <v>120</v>
      </c>
      <c r="D6" s="121"/>
      <c r="E6" s="122"/>
      <c r="F6" s="10" t="s">
        <v>13</v>
      </c>
      <c r="G6" s="63">
        <v>120</v>
      </c>
      <c r="H6" s="63">
        <f>B6*C6*12</f>
        <v>4320</v>
      </c>
      <c r="I6" s="66">
        <f t="shared" si="0"/>
        <v>37.7</v>
      </c>
      <c r="J6" s="69">
        <f>ROUND(H6/$H$5%,2)</f>
        <v>100</v>
      </c>
    </row>
    <row r="7" spans="1:10" ht="15.75">
      <c r="A7" s="9" t="s">
        <v>14</v>
      </c>
      <c r="B7" s="63"/>
      <c r="C7" s="63">
        <v>120</v>
      </c>
      <c r="D7" s="121"/>
      <c r="E7" s="122"/>
      <c r="F7" s="10" t="s">
        <v>15</v>
      </c>
      <c r="G7" s="63"/>
      <c r="H7" s="63">
        <f>B7*G7*3</f>
        <v>0</v>
      </c>
      <c r="I7" s="66">
        <f t="shared" si="0"/>
        <v>0</v>
      </c>
      <c r="J7" s="69">
        <f>ROUND(H7/$H$5%,2)</f>
        <v>0</v>
      </c>
    </row>
    <row r="8" spans="1:10" ht="15.75">
      <c r="A8" s="62" t="s">
        <v>16</v>
      </c>
      <c r="B8" s="63">
        <f>SUM(B9:B11)</f>
        <v>86.52000000000001</v>
      </c>
      <c r="C8" s="64" t="s">
        <v>10</v>
      </c>
      <c r="D8" s="121"/>
      <c r="E8" s="122"/>
      <c r="F8" s="7" t="s">
        <v>17</v>
      </c>
      <c r="G8" s="71">
        <v>27</v>
      </c>
      <c r="H8" s="65">
        <f>H5*G8%</f>
        <v>1166.4</v>
      </c>
      <c r="I8" s="66">
        <f t="shared" si="0"/>
        <v>10.18</v>
      </c>
      <c r="J8" s="8">
        <f>ROUND(H8/$H$38%,2)</f>
        <v>2.73</v>
      </c>
    </row>
    <row r="9" spans="1:10" ht="15.75">
      <c r="A9" s="9" t="s">
        <v>131</v>
      </c>
      <c r="B9" s="63">
        <f>ROUND(B13*0.06+B14*0.08+B15*0.06+B16*0.025,2)</f>
        <v>55.92</v>
      </c>
      <c r="C9" s="64" t="s">
        <v>10</v>
      </c>
      <c r="D9" s="121"/>
      <c r="E9" s="122"/>
      <c r="F9" s="11" t="s">
        <v>155</v>
      </c>
      <c r="G9" s="167">
        <f>SUM(G10:G13)</f>
        <v>1064.5592307691684</v>
      </c>
      <c r="H9" s="73">
        <f>SUM(H10:H15)</f>
        <v>16104.626376922151</v>
      </c>
      <c r="I9" s="74">
        <f t="shared" si="0"/>
        <v>140.52</v>
      </c>
      <c r="J9" s="75">
        <f>ROUND(H9/$H$38%,2)</f>
        <v>37.68</v>
      </c>
    </row>
    <row r="10" spans="1:10" ht="15.75">
      <c r="A10" s="9" t="s">
        <v>132</v>
      </c>
      <c r="B10" s="63">
        <f>ROUND(G13/'[1]siens'!$F$8,1)</f>
        <v>30.6</v>
      </c>
      <c r="C10" s="64"/>
      <c r="D10" s="121"/>
      <c r="E10" s="122"/>
      <c r="F10" s="10" t="s">
        <v>21</v>
      </c>
      <c r="G10" s="168">
        <f>(B13*B46)+(C46*B14)+(B15*E46)+(D46*B16)</f>
        <v>800.8584615384159</v>
      </c>
      <c r="H10" s="123">
        <f>G10*F46</f>
        <v>2722.918769230614</v>
      </c>
      <c r="I10" s="66">
        <f t="shared" si="0"/>
        <v>23.76</v>
      </c>
      <c r="J10" s="69">
        <f>ROUND(H10/$H$9%,2)</f>
        <v>16.91</v>
      </c>
    </row>
    <row r="11" spans="1:10" ht="15.75">
      <c r="A11" s="9" t="s">
        <v>20</v>
      </c>
      <c r="B11" s="63">
        <f>ROUND(G14/150,1)</f>
        <v>0</v>
      </c>
      <c r="C11" s="64" t="s">
        <v>10</v>
      </c>
      <c r="D11" s="121"/>
      <c r="E11" s="122"/>
      <c r="F11" s="250" t="s">
        <v>125</v>
      </c>
      <c r="G11" s="253">
        <f>(B13*B47)+(C47*B14)+(B15*E47)+(D47*B16)</f>
        <v>64.52615384615049</v>
      </c>
      <c r="H11" s="213">
        <f>G11*G47</f>
        <v>8388.399999999565</v>
      </c>
      <c r="I11" s="220">
        <f t="shared" si="0"/>
        <v>73.19</v>
      </c>
      <c r="J11" s="223">
        <f>ROUND(H11/$H$9%,2)</f>
        <v>52.09</v>
      </c>
    </row>
    <row r="12" spans="1:10" ht="15.75">
      <c r="A12" s="76" t="s">
        <v>22</v>
      </c>
      <c r="B12" s="160">
        <f>SUM(B13:B15)</f>
        <v>749.6923076922772</v>
      </c>
      <c r="C12" s="77" t="s">
        <v>10</v>
      </c>
      <c r="D12" s="121"/>
      <c r="E12" s="122"/>
      <c r="F12" s="251"/>
      <c r="G12" s="254"/>
      <c r="H12" s="196"/>
      <c r="I12" s="221">
        <f t="shared" si="0"/>
        <v>0</v>
      </c>
      <c r="J12" s="224">
        <f>ROUND(H12/$H$9%,2)</f>
        <v>0</v>
      </c>
    </row>
    <row r="13" spans="1:10" ht="15.75">
      <c r="A13" s="9" t="s">
        <v>24</v>
      </c>
      <c r="B13" s="160">
        <v>332.6923076922772</v>
      </c>
      <c r="C13" s="68">
        <f>'Vaislas dzīvnieku izmaksas'!C25</f>
        <v>173.8738203207876</v>
      </c>
      <c r="D13" s="121"/>
      <c r="E13" s="122"/>
      <c r="F13" s="10" t="s">
        <v>29</v>
      </c>
      <c r="G13" s="168">
        <f>(B13*B48)+(C48*B14)+(B15*E48)+(D48*B16)</f>
        <v>199.17461538460196</v>
      </c>
      <c r="H13" s="123">
        <f>G13*G48</f>
        <v>4993.3076076919715</v>
      </c>
      <c r="I13" s="66">
        <f>ROUND(H13/$B$25,2)</f>
        <v>43.57</v>
      </c>
      <c r="J13" s="69">
        <f>ROUND(H13/$H$9%,2)</f>
        <v>31.01</v>
      </c>
    </row>
    <row r="14" spans="1:10" ht="15.75">
      <c r="A14" s="9" t="s">
        <v>26</v>
      </c>
      <c r="B14" s="67">
        <f>ROUND(B13/45,0)</f>
        <v>7</v>
      </c>
      <c r="C14" s="64">
        <v>220</v>
      </c>
      <c r="D14" s="121"/>
      <c r="E14" s="122"/>
      <c r="F14" s="10"/>
      <c r="G14" s="63"/>
      <c r="H14" s="123"/>
      <c r="I14" s="66"/>
      <c r="J14" s="69"/>
    </row>
    <row r="15" spans="1:10" ht="15.75">
      <c r="A15" s="9" t="s">
        <v>32</v>
      </c>
      <c r="B15" s="67">
        <f>ROUND(B16-(B16*5%),0)</f>
        <v>410</v>
      </c>
      <c r="C15" s="64" t="s">
        <v>10</v>
      </c>
      <c r="D15" s="121"/>
      <c r="E15" s="122"/>
      <c r="F15" s="10"/>
      <c r="G15" s="63"/>
      <c r="H15" s="63"/>
      <c r="I15" s="66"/>
      <c r="J15" s="69"/>
    </row>
    <row r="16" spans="1:11" ht="15.75">
      <c r="A16" s="9" t="s">
        <v>156</v>
      </c>
      <c r="B16" s="67">
        <f>ROUND(B13*1.3,0)</f>
        <v>432</v>
      </c>
      <c r="C16" s="64" t="s">
        <v>10</v>
      </c>
      <c r="D16" s="121"/>
      <c r="E16" s="122"/>
      <c r="F16" s="7" t="s">
        <v>126</v>
      </c>
      <c r="G16" s="63"/>
      <c r="H16" s="65">
        <v>100</v>
      </c>
      <c r="I16" s="66">
        <f aca="true" t="shared" si="1" ref="I16:I33">ROUND(H16/$B$25,2)</f>
        <v>0.87</v>
      </c>
      <c r="J16" s="8">
        <f aca="true" t="shared" si="2" ref="J16:J25">ROUND(H16/$H$38%,2)</f>
        <v>0.23</v>
      </c>
      <c r="K16" s="166"/>
    </row>
    <row r="17" spans="1:11" ht="15.75">
      <c r="A17" s="62" t="s">
        <v>36</v>
      </c>
      <c r="B17" s="78">
        <f>ROUND((B16*10%)+(B15*5%),0)</f>
        <v>64</v>
      </c>
      <c r="C17" s="79">
        <v>10</v>
      </c>
      <c r="D17" s="121"/>
      <c r="E17" s="122"/>
      <c r="F17" s="7" t="s">
        <v>39</v>
      </c>
      <c r="G17" s="63">
        <f>Dati!B15/1000</f>
        <v>0.272</v>
      </c>
      <c r="H17" s="65">
        <f>K17*G17</f>
        <v>48.96</v>
      </c>
      <c r="I17" s="66">
        <f t="shared" si="1"/>
        <v>0.43</v>
      </c>
      <c r="J17" s="8">
        <f t="shared" si="2"/>
        <v>0.11</v>
      </c>
      <c r="K17" s="166">
        <v>180</v>
      </c>
    </row>
    <row r="18" spans="1:10" ht="16.5" thickBot="1">
      <c r="A18" s="14" t="s">
        <v>38</v>
      </c>
      <c r="B18" s="161">
        <f>B14+B13</f>
        <v>339.6923076922772</v>
      </c>
      <c r="C18" s="79">
        <f>ROUND((220*B14+B13*'Vaislas dzīvnieku izmaksas'!C25)/B18,2)</f>
        <v>174.82</v>
      </c>
      <c r="D18" s="121"/>
      <c r="E18" s="122"/>
      <c r="F18" s="7" t="s">
        <v>41</v>
      </c>
      <c r="G18" s="63">
        <v>6</v>
      </c>
      <c r="H18" s="65">
        <v>196</v>
      </c>
      <c r="I18" s="66">
        <f t="shared" si="1"/>
        <v>1.71</v>
      </c>
      <c r="J18" s="8">
        <f t="shared" si="2"/>
        <v>0.46</v>
      </c>
    </row>
    <row r="19" spans="1:10" ht="17.25" thickTop="1">
      <c r="A19" s="217" t="s">
        <v>40</v>
      </c>
      <c r="B19" s="218"/>
      <c r="C19" s="218"/>
      <c r="D19" s="218"/>
      <c r="E19" s="219"/>
      <c r="F19" s="19" t="s">
        <v>71</v>
      </c>
      <c r="G19" s="82"/>
      <c r="H19" s="83"/>
      <c r="I19" s="84">
        <f t="shared" si="1"/>
        <v>0</v>
      </c>
      <c r="J19" s="85">
        <f t="shared" si="2"/>
        <v>0</v>
      </c>
    </row>
    <row r="20" spans="1:10" ht="28.5">
      <c r="A20" s="15" t="s">
        <v>2</v>
      </c>
      <c r="B20" s="16" t="s">
        <v>3</v>
      </c>
      <c r="C20" s="16" t="s">
        <v>4</v>
      </c>
      <c r="D20" s="17" t="s">
        <v>42</v>
      </c>
      <c r="E20" s="18" t="s">
        <v>8</v>
      </c>
      <c r="F20" s="19" t="s">
        <v>44</v>
      </c>
      <c r="G20" s="159">
        <f>(B13+B15+B14)</f>
        <v>749.6923076922772</v>
      </c>
      <c r="H20" s="159">
        <f>G20*0.035</f>
        <v>26.239230769229703</v>
      </c>
      <c r="I20" s="84">
        <f t="shared" si="1"/>
        <v>0.23</v>
      </c>
      <c r="J20" s="85">
        <f t="shared" si="2"/>
        <v>0.06</v>
      </c>
    </row>
    <row r="21" spans="1:10" ht="31.5">
      <c r="A21" s="179" t="s">
        <v>43</v>
      </c>
      <c r="B21" s="159">
        <f>ROUND(($B$15*0.55)-5%+(B13*5%*0.8),3)</f>
        <v>238.758</v>
      </c>
      <c r="C21" s="180" t="s">
        <v>10</v>
      </c>
      <c r="D21" s="180" t="s">
        <v>10</v>
      </c>
      <c r="E21" s="85" t="s">
        <v>10</v>
      </c>
      <c r="F21" s="128" t="s">
        <v>127</v>
      </c>
      <c r="G21" s="129"/>
      <c r="H21" s="83">
        <f>1.5*(AM+VT+Jēri)</f>
        <v>1157.5384615384157</v>
      </c>
      <c r="I21" s="84">
        <f t="shared" si="1"/>
        <v>10.1</v>
      </c>
      <c r="J21" s="85">
        <f t="shared" si="2"/>
        <v>2.71</v>
      </c>
    </row>
    <row r="22" spans="1:10" ht="15.75">
      <c r="A22" s="9" t="s">
        <v>45</v>
      </c>
      <c r="B22" s="67">
        <v>48</v>
      </c>
      <c r="C22" s="64" t="s">
        <v>10</v>
      </c>
      <c r="D22" s="64" t="s">
        <v>10</v>
      </c>
      <c r="E22" s="8" t="s">
        <v>10</v>
      </c>
      <c r="F22" s="7" t="s">
        <v>48</v>
      </c>
      <c r="G22" s="63"/>
      <c r="H22" s="65">
        <f>C55*0.5%</f>
        <v>275</v>
      </c>
      <c r="I22" s="66">
        <f t="shared" si="1"/>
        <v>2.4</v>
      </c>
      <c r="J22" s="8">
        <f t="shared" si="2"/>
        <v>0.64</v>
      </c>
    </row>
    <row r="23" spans="1:10" ht="15.75">
      <c r="A23" s="62" t="s">
        <v>47</v>
      </c>
      <c r="B23" s="63">
        <f>ROUND(B21*B22%,3)</f>
        <v>114.604</v>
      </c>
      <c r="C23" s="68">
        <v>172.4043478260869</v>
      </c>
      <c r="D23" s="68">
        <f>B23*C23</f>
        <v>19758.227878260863</v>
      </c>
      <c r="E23" s="8">
        <f>ROUND(D23/$D$33%,2)</f>
        <v>83.13</v>
      </c>
      <c r="F23" s="7" t="s">
        <v>50</v>
      </c>
      <c r="G23" s="63"/>
      <c r="H23" s="65">
        <v>100</v>
      </c>
      <c r="I23" s="66">
        <f t="shared" si="1"/>
        <v>0.87</v>
      </c>
      <c r="J23" s="8">
        <f t="shared" si="2"/>
        <v>0.23</v>
      </c>
    </row>
    <row r="24" spans="1:10" ht="15.75">
      <c r="A24" s="20" t="s">
        <v>49</v>
      </c>
      <c r="B24" s="67"/>
      <c r="C24" s="64"/>
      <c r="D24" s="64">
        <f>B24*C24</f>
        <v>0</v>
      </c>
      <c r="E24" s="8">
        <f>ROUND(D24/$D$33%,2)</f>
        <v>0</v>
      </c>
      <c r="F24" s="7" t="s">
        <v>52</v>
      </c>
      <c r="G24" s="63"/>
      <c r="H24" s="65">
        <v>120</v>
      </c>
      <c r="I24" s="66">
        <f t="shared" si="1"/>
        <v>1.05</v>
      </c>
      <c r="J24" s="8">
        <f t="shared" si="2"/>
        <v>0.28</v>
      </c>
    </row>
    <row r="25" spans="1:10" ht="15.75">
      <c r="A25" s="21" t="s">
        <v>51</v>
      </c>
      <c r="B25" s="86">
        <f>SUM(B23:B24)</f>
        <v>114.604</v>
      </c>
      <c r="C25" s="87" t="s">
        <v>10</v>
      </c>
      <c r="D25" s="147">
        <f>SUM(D23:D24)</f>
        <v>19758.227878260863</v>
      </c>
      <c r="E25" s="8">
        <f>ROUND(D25/$D$33%,2)</f>
        <v>83.13</v>
      </c>
      <c r="F25" s="61" t="s">
        <v>130</v>
      </c>
      <c r="G25" s="63"/>
      <c r="H25" s="65">
        <f>ROUND((225*B14/3)+(B13*'Vaislas dzīvnieku izmaksas'!C25/5),2)</f>
        <v>12094.3</v>
      </c>
      <c r="I25" s="66">
        <f t="shared" si="1"/>
        <v>105.53</v>
      </c>
      <c r="J25" s="8">
        <f t="shared" si="2"/>
        <v>28.3</v>
      </c>
    </row>
    <row r="26" spans="1:10" ht="15.75">
      <c r="A26" s="20" t="s">
        <v>53</v>
      </c>
      <c r="B26" s="123">
        <f>(2.5*B13+2.5*B14+1.2*B15)/100</f>
        <v>13.412307692306932</v>
      </c>
      <c r="C26" s="64">
        <v>68.44</v>
      </c>
      <c r="D26" s="68">
        <f>B26*C26</f>
        <v>917.9383384614864</v>
      </c>
      <c r="E26" s="8">
        <f>ROUND(D26/$D$33%,2)</f>
        <v>3.86</v>
      </c>
      <c r="F26" s="7" t="s">
        <v>55</v>
      </c>
      <c r="G26" s="63"/>
      <c r="H26" s="65">
        <f>E64</f>
        <v>2550</v>
      </c>
      <c r="I26" s="66">
        <f t="shared" si="1"/>
        <v>22.25</v>
      </c>
      <c r="J26" s="8">
        <f>ROUND(H26/$H$38%,2)</f>
        <v>5.97</v>
      </c>
    </row>
    <row r="27" spans="1:10" ht="15.75">
      <c r="A27" s="20" t="s">
        <v>54</v>
      </c>
      <c r="B27" s="63"/>
      <c r="C27" s="64"/>
      <c r="D27" s="64"/>
      <c r="E27" s="8"/>
      <c r="F27" s="7" t="s">
        <v>57</v>
      </c>
      <c r="G27" s="123">
        <f>B18*C18</f>
        <v>59385.0092307639</v>
      </c>
      <c r="H27" s="65"/>
      <c r="I27" s="90">
        <f t="shared" si="1"/>
        <v>0</v>
      </c>
      <c r="J27" s="8">
        <f>ROUND(H27/$H$38%,2)</f>
        <v>0</v>
      </c>
    </row>
    <row r="28" spans="1:10" ht="15.75">
      <c r="A28" s="9" t="s">
        <v>56</v>
      </c>
      <c r="B28" s="63"/>
      <c r="C28" s="64"/>
      <c r="D28" s="64"/>
      <c r="E28" s="8"/>
      <c r="F28" s="22" t="s">
        <v>59</v>
      </c>
      <c r="G28" s="63">
        <v>15</v>
      </c>
      <c r="H28" s="127">
        <f>ROUND(((G27/4)*G28%),2)</f>
        <v>2226.94</v>
      </c>
      <c r="I28" s="66">
        <f t="shared" si="1"/>
        <v>19.43</v>
      </c>
      <c r="J28" s="8">
        <f>ROUND(H28/$H$38%,2)</f>
        <v>5.21</v>
      </c>
    </row>
    <row r="29" spans="1:10" ht="15.75">
      <c r="A29" s="9" t="s">
        <v>129</v>
      </c>
      <c r="B29" s="63">
        <f>ROUND($B$15+($B$13*5%),0)</f>
        <v>427</v>
      </c>
      <c r="C29" s="64">
        <v>5</v>
      </c>
      <c r="D29" s="64">
        <f>B29*C29</f>
        <v>2135</v>
      </c>
      <c r="E29" s="8">
        <f>ROUND(D29/$D$33%,2)</f>
        <v>8.98</v>
      </c>
      <c r="F29" s="7" t="s">
        <v>61</v>
      </c>
      <c r="G29" s="63">
        <f>B17</f>
        <v>64</v>
      </c>
      <c r="H29" s="65">
        <f>G29*C17</f>
        <v>640</v>
      </c>
      <c r="I29" s="66">
        <f t="shared" si="1"/>
        <v>5.58</v>
      </c>
      <c r="J29" s="8">
        <f>ROUND(H29/$H$38%,2)</f>
        <v>1.5</v>
      </c>
    </row>
    <row r="30" spans="1:10" ht="15.75">
      <c r="A30" s="20" t="s">
        <v>60</v>
      </c>
      <c r="B30" s="63">
        <f>ROUND((B12*0.85)*50%,1)</f>
        <v>318.6</v>
      </c>
      <c r="C30" s="64">
        <v>3</v>
      </c>
      <c r="D30" s="87">
        <f>B30*C30</f>
        <v>955.8000000000001</v>
      </c>
      <c r="E30" s="8">
        <f>ROUND(D30/$D$33%,2)</f>
        <v>4.02</v>
      </c>
      <c r="F30" s="24" t="s">
        <v>63</v>
      </c>
      <c r="G30" s="63"/>
      <c r="H30" s="65"/>
      <c r="I30" s="66">
        <f t="shared" si="1"/>
        <v>0</v>
      </c>
      <c r="J30" s="88"/>
    </row>
    <row r="31" spans="1:10" ht="15.75">
      <c r="A31" s="23" t="s">
        <v>62</v>
      </c>
      <c r="B31" s="86" t="s">
        <v>10</v>
      </c>
      <c r="C31" s="87" t="s">
        <v>10</v>
      </c>
      <c r="D31" s="147">
        <f>SUM(D25:D30)</f>
        <v>23766.966216722347</v>
      </c>
      <c r="E31" s="8" t="s">
        <v>10</v>
      </c>
      <c r="F31" s="25">
        <v>0.25</v>
      </c>
      <c r="G31" s="63"/>
      <c r="H31" s="65">
        <f>F31*$B$15</f>
        <v>102.5</v>
      </c>
      <c r="I31" s="66">
        <f t="shared" si="1"/>
        <v>0.89</v>
      </c>
      <c r="J31" s="8">
        <f>ROUND(H31/$H$38%,2)</f>
        <v>0.24</v>
      </c>
    </row>
    <row r="32" spans="1:10" ht="15.75">
      <c r="A32" s="20" t="s">
        <v>64</v>
      </c>
      <c r="B32" s="65"/>
      <c r="C32" s="87" t="s">
        <v>10</v>
      </c>
      <c r="D32" s="65">
        <v>0</v>
      </c>
      <c r="E32" s="8">
        <f>ROUND(D32/$D$33%,2)</f>
        <v>0</v>
      </c>
      <c r="F32" s="25">
        <v>1</v>
      </c>
      <c r="G32" s="63"/>
      <c r="H32" s="65">
        <f>F32*$B$15</f>
        <v>410</v>
      </c>
      <c r="I32" s="66">
        <f t="shared" si="1"/>
        <v>3.58</v>
      </c>
      <c r="J32" s="8">
        <f>ROUND(H32/$H$38%,2)</f>
        <v>0.96</v>
      </c>
    </row>
    <row r="33" spans="1:10" ht="15.75">
      <c r="A33" s="26" t="s">
        <v>65</v>
      </c>
      <c r="B33" s="86" t="s">
        <v>10</v>
      </c>
      <c r="C33" s="87" t="s">
        <v>10</v>
      </c>
      <c r="D33" s="147">
        <f>SUM(D31:D32)</f>
        <v>23766.966216722347</v>
      </c>
      <c r="E33" s="91">
        <f>ROUND(D33/$D$33%,2)</f>
        <v>100</v>
      </c>
      <c r="F33" s="7" t="s">
        <v>66</v>
      </c>
      <c r="G33" s="63"/>
      <c r="H33" s="65">
        <v>1200</v>
      </c>
      <c r="I33" s="66">
        <f t="shared" si="1"/>
        <v>10.47</v>
      </c>
      <c r="J33" s="8">
        <f>ROUND(H33/$H$38%,2)</f>
        <v>2.81</v>
      </c>
    </row>
    <row r="34" spans="1:10" ht="15.75">
      <c r="A34" s="116"/>
      <c r="B34" s="117"/>
      <c r="C34" s="117"/>
      <c r="D34" s="117"/>
      <c r="E34" s="118"/>
      <c r="F34" s="7"/>
      <c r="G34" s="63"/>
      <c r="H34" s="65"/>
      <c r="I34" s="66"/>
      <c r="J34" s="8"/>
    </row>
    <row r="35" spans="1:10" ht="15.75">
      <c r="A35" s="29" t="s">
        <v>68</v>
      </c>
      <c r="B35" s="94" t="s">
        <v>10</v>
      </c>
      <c r="C35" s="95" t="s">
        <v>10</v>
      </c>
      <c r="D35" s="151">
        <f>ROUND(D33-H38,2)</f>
        <v>-18971.54</v>
      </c>
      <c r="E35" s="30"/>
      <c r="F35" s="31"/>
      <c r="G35" s="80"/>
      <c r="H35" s="80"/>
      <c r="I35" s="96">
        <f>ROUND(H35/$B$25,2)</f>
        <v>0</v>
      </c>
      <c r="J35" s="8">
        <f>ROUND(H35/$H$38%,2)</f>
        <v>0</v>
      </c>
    </row>
    <row r="36" spans="1:10" ht="15.75">
      <c r="A36" s="33" t="s">
        <v>69</v>
      </c>
      <c r="B36" s="98" t="s">
        <v>10</v>
      </c>
      <c r="C36" s="98" t="s">
        <v>10</v>
      </c>
      <c r="D36" s="93">
        <f>ROUND(D35/$H$38%,2)</f>
        <v>-44.39</v>
      </c>
      <c r="E36" s="30"/>
      <c r="F36" s="31"/>
      <c r="G36" s="80"/>
      <c r="H36" s="80"/>
      <c r="I36" s="96"/>
      <c r="J36" s="97"/>
    </row>
    <row r="37" spans="1:10" ht="15.75">
      <c r="A37" s="198" t="s">
        <v>245</v>
      </c>
      <c r="B37" s="199" t="s">
        <v>10</v>
      </c>
      <c r="C37" s="200" t="s">
        <v>10</v>
      </c>
      <c r="D37" s="201">
        <f>D33-SUM(H5,H8,H9,H20,H21)</f>
        <v>992.1621474925523</v>
      </c>
      <c r="E37" s="32"/>
      <c r="F37" s="31"/>
      <c r="G37" s="80"/>
      <c r="H37" s="80"/>
      <c r="I37" s="96">
        <f>ROUND(H37/$B$25,2)</f>
        <v>0</v>
      </c>
      <c r="J37" s="99"/>
    </row>
    <row r="38" spans="1:10" ht="16.5" thickBot="1">
      <c r="A38" s="202" t="s">
        <v>246</v>
      </c>
      <c r="B38" s="203" t="s">
        <v>10</v>
      </c>
      <c r="C38" s="203" t="s">
        <v>10</v>
      </c>
      <c r="D38" s="204">
        <f>ROUND(D37/SUM(H5,H8:H9,H21,H20)%,2)</f>
        <v>4.36</v>
      </c>
      <c r="E38" s="36"/>
      <c r="F38" s="37" t="s">
        <v>70</v>
      </c>
      <c r="G38" s="102"/>
      <c r="H38" s="103">
        <f>SUM(H5,H8,H9,H17:H35)</f>
        <v>42738.50406922979</v>
      </c>
      <c r="I38" s="104">
        <f>ROUND(H38/$B$25,2)</f>
        <v>372.92</v>
      </c>
      <c r="J38" s="105">
        <f>SUM(J5,J8,J9,J17:J35)</f>
        <v>99.99999999999999</v>
      </c>
    </row>
    <row r="39" ht="16.5" thickTop="1"/>
    <row r="42" spans="1:5" ht="16.5" thickBot="1">
      <c r="A42" s="255" t="s">
        <v>242</v>
      </c>
      <c r="B42" s="255"/>
      <c r="C42" s="255"/>
      <c r="D42" s="255"/>
      <c r="E42" s="255"/>
    </row>
    <row r="43" spans="1:11" ht="16.5" customHeight="1" thickTop="1">
      <c r="A43" s="226"/>
      <c r="B43" s="228" t="s">
        <v>153</v>
      </c>
      <c r="C43" s="229"/>
      <c r="D43" s="229"/>
      <c r="E43" s="230"/>
      <c r="F43" s="231" t="s">
        <v>243</v>
      </c>
      <c r="G43" s="231" t="s">
        <v>244</v>
      </c>
      <c r="H43" s="228" t="s">
        <v>154</v>
      </c>
      <c r="I43" s="229"/>
      <c r="J43" s="229"/>
      <c r="K43" s="252"/>
    </row>
    <row r="44" spans="1:11" ht="63.75" thickBot="1">
      <c r="A44" s="227"/>
      <c r="B44" s="38" t="s">
        <v>79</v>
      </c>
      <c r="C44" s="38" t="s">
        <v>80</v>
      </c>
      <c r="D44" s="38" t="s">
        <v>81</v>
      </c>
      <c r="E44" s="38" t="s">
        <v>128</v>
      </c>
      <c r="F44" s="232"/>
      <c r="G44" s="232"/>
      <c r="H44" s="38" t="s">
        <v>79</v>
      </c>
      <c r="I44" s="38" t="s">
        <v>80</v>
      </c>
      <c r="J44" s="38" t="s">
        <v>81</v>
      </c>
      <c r="K44" s="136" t="s">
        <v>128</v>
      </c>
    </row>
    <row r="45" spans="1:11" ht="15.75">
      <c r="A45" s="41" t="s">
        <v>84</v>
      </c>
      <c r="B45" s="245" t="s">
        <v>106</v>
      </c>
      <c r="C45" s="246"/>
      <c r="D45" s="124" t="s">
        <v>105</v>
      </c>
      <c r="E45" s="124" t="s">
        <v>124</v>
      </c>
      <c r="F45" s="42" t="s">
        <v>10</v>
      </c>
      <c r="G45" s="42" t="s">
        <v>10</v>
      </c>
      <c r="H45" s="245" t="s">
        <v>106</v>
      </c>
      <c r="I45" s="246"/>
      <c r="J45" s="124" t="s">
        <v>105</v>
      </c>
      <c r="K45" s="137" t="s">
        <v>124</v>
      </c>
    </row>
    <row r="46" spans="1:11" ht="15.75">
      <c r="A46" s="44" t="s">
        <v>86</v>
      </c>
      <c r="B46" s="45">
        <v>1.5</v>
      </c>
      <c r="C46" s="125">
        <v>1.5</v>
      </c>
      <c r="D46" s="125">
        <v>0.01</v>
      </c>
      <c r="E46" s="125">
        <v>0.7</v>
      </c>
      <c r="F46" s="155">
        <v>3.4</v>
      </c>
      <c r="G46" s="46" t="s">
        <v>108</v>
      </c>
      <c r="H46" s="156">
        <f>B46*$F46</f>
        <v>5.1</v>
      </c>
      <c r="I46" s="157">
        <f>C46*$F46</f>
        <v>5.1</v>
      </c>
      <c r="J46" s="157">
        <f>D46*$F46</f>
        <v>0.034</v>
      </c>
      <c r="K46" s="158">
        <f>E46*$F46</f>
        <v>2.38</v>
      </c>
    </row>
    <row r="47" spans="1:11" ht="15.75">
      <c r="A47" s="113" t="s">
        <v>104</v>
      </c>
      <c r="B47" s="114">
        <v>0.11</v>
      </c>
      <c r="C47" s="126">
        <v>0.12</v>
      </c>
      <c r="D47" s="126">
        <v>0.02</v>
      </c>
      <c r="E47" s="126">
        <v>0.045</v>
      </c>
      <c r="F47" s="83" t="s">
        <v>108</v>
      </c>
      <c r="G47" s="83">
        <v>130</v>
      </c>
      <c r="H47" s="138">
        <f>B47*$G47</f>
        <v>14.3</v>
      </c>
      <c r="I47" s="45">
        <f>C47*$G47</f>
        <v>15.6</v>
      </c>
      <c r="J47" s="45">
        <f>D47*$G47</f>
        <v>2.6</v>
      </c>
      <c r="K47" s="139">
        <f>E47*$G47</f>
        <v>5.85</v>
      </c>
    </row>
    <row r="48" spans="1:11" ht="15.75">
      <c r="A48" s="44" t="s">
        <v>29</v>
      </c>
      <c r="B48" s="45">
        <v>0.44</v>
      </c>
      <c r="C48" s="125">
        <v>0.45</v>
      </c>
      <c r="D48" s="125">
        <v>0.02</v>
      </c>
      <c r="E48" s="125">
        <v>0.1</v>
      </c>
      <c r="F48" s="46">
        <v>22.63</v>
      </c>
      <c r="G48" s="155">
        <v>25.07</v>
      </c>
      <c r="H48" s="156">
        <f aca="true" t="shared" si="3" ref="H48:K50">B48*$F48</f>
        <v>9.9572</v>
      </c>
      <c r="I48" s="157">
        <f t="shared" si="3"/>
        <v>10.1835</v>
      </c>
      <c r="J48" s="157">
        <f t="shared" si="3"/>
        <v>0.4526</v>
      </c>
      <c r="K48" s="158">
        <f t="shared" si="3"/>
        <v>2.263</v>
      </c>
    </row>
    <row r="49" spans="1:11" ht="15.75">
      <c r="A49" s="44"/>
      <c r="B49" s="45"/>
      <c r="C49" s="125"/>
      <c r="D49" s="125"/>
      <c r="E49" s="125"/>
      <c r="F49" s="42"/>
      <c r="G49" s="46"/>
      <c r="H49" s="138">
        <f t="shared" si="3"/>
        <v>0</v>
      </c>
      <c r="I49" s="45">
        <f t="shared" si="3"/>
        <v>0</v>
      </c>
      <c r="J49" s="45">
        <f t="shared" si="3"/>
        <v>0</v>
      </c>
      <c r="K49" s="139">
        <f t="shared" si="3"/>
        <v>0</v>
      </c>
    </row>
    <row r="50" spans="1:11" ht="16.5" thickBot="1">
      <c r="A50" s="131" t="s">
        <v>94</v>
      </c>
      <c r="B50" s="154">
        <v>1</v>
      </c>
      <c r="C50" s="133">
        <v>1</v>
      </c>
      <c r="D50" s="133"/>
      <c r="E50" s="133">
        <v>1</v>
      </c>
      <c r="F50" s="134"/>
      <c r="G50" s="59"/>
      <c r="H50" s="132">
        <f t="shared" si="3"/>
        <v>0</v>
      </c>
      <c r="I50" s="132">
        <f t="shared" si="3"/>
        <v>0</v>
      </c>
      <c r="J50" s="132">
        <f t="shared" si="3"/>
        <v>0</v>
      </c>
      <c r="K50" s="135">
        <f t="shared" si="3"/>
        <v>0</v>
      </c>
    </row>
    <row r="51" spans="1:10" ht="16.5" thickTop="1">
      <c r="A51" s="247" t="s">
        <v>55</v>
      </c>
      <c r="B51" s="248"/>
      <c r="C51" s="248"/>
      <c r="D51" s="248"/>
      <c r="E51" s="249"/>
      <c r="F51"/>
      <c r="G51"/>
      <c r="H51"/>
      <c r="I51"/>
      <c r="J51"/>
    </row>
    <row r="52" spans="1:10" ht="47.25">
      <c r="A52" s="140" t="s">
        <v>142</v>
      </c>
      <c r="B52" s="141" t="s">
        <v>143</v>
      </c>
      <c r="C52" s="141" t="s">
        <v>144</v>
      </c>
      <c r="D52" s="141" t="s">
        <v>145</v>
      </c>
      <c r="E52" s="142" t="s">
        <v>146</v>
      </c>
      <c r="F52"/>
      <c r="G52"/>
      <c r="H52"/>
      <c r="I52"/>
      <c r="J52"/>
    </row>
    <row r="53" spans="1:7" ht="15.75">
      <c r="A53" s="62" t="s">
        <v>133</v>
      </c>
      <c r="B53" s="63">
        <v>750</v>
      </c>
      <c r="C53" s="63">
        <v>50000</v>
      </c>
      <c r="D53" s="63">
        <v>4</v>
      </c>
      <c r="E53" s="143">
        <f>ROUND(C53*D53%,2)</f>
        <v>2000</v>
      </c>
      <c r="F53"/>
      <c r="G53"/>
    </row>
    <row r="54" spans="1:7" ht="15.75">
      <c r="A54" s="62" t="s">
        <v>134</v>
      </c>
      <c r="B54" s="144"/>
      <c r="C54" s="144">
        <v>5000</v>
      </c>
      <c r="D54" s="144">
        <v>4</v>
      </c>
      <c r="E54" s="143">
        <f aca="true" t="shared" si="4" ref="E54:E63">ROUND(C54*D54%,2)</f>
        <v>200</v>
      </c>
      <c r="F54"/>
      <c r="G54"/>
    </row>
    <row r="55" spans="1:5" ht="15.75">
      <c r="A55" s="21" t="s">
        <v>150</v>
      </c>
      <c r="B55" s="153"/>
      <c r="C55" s="153">
        <f>SUM(C53:C54)</f>
        <v>55000</v>
      </c>
      <c r="D55" s="153"/>
      <c r="E55" s="91"/>
    </row>
    <row r="56" spans="1:5" ht="15.75">
      <c r="A56" s="62" t="s">
        <v>135</v>
      </c>
      <c r="B56" s="63"/>
      <c r="C56" s="63"/>
      <c r="D56" s="63"/>
      <c r="E56" s="143"/>
    </row>
    <row r="57" spans="1:5" ht="15.75">
      <c r="A57" s="9" t="s">
        <v>136</v>
      </c>
      <c r="B57" s="63"/>
      <c r="C57" s="63">
        <v>8000</v>
      </c>
      <c r="D57" s="63">
        <v>14</v>
      </c>
      <c r="E57" s="143">
        <f t="shared" si="4"/>
        <v>1120</v>
      </c>
    </row>
    <row r="58" spans="1:5" ht="15.75">
      <c r="A58" s="9" t="s">
        <v>157</v>
      </c>
      <c r="B58" s="63">
        <v>3200</v>
      </c>
      <c r="C58" s="63">
        <v>1700</v>
      </c>
      <c r="D58" s="63">
        <v>14</v>
      </c>
      <c r="E58" s="143">
        <f t="shared" si="4"/>
        <v>238</v>
      </c>
    </row>
    <row r="59" spans="1:5" ht="15.75" hidden="1">
      <c r="A59" s="9" t="s">
        <v>137</v>
      </c>
      <c r="B59" s="63"/>
      <c r="C59" s="63">
        <v>2000</v>
      </c>
      <c r="D59" s="63">
        <v>14</v>
      </c>
      <c r="E59" s="143">
        <f t="shared" si="4"/>
        <v>280</v>
      </c>
    </row>
    <row r="60" spans="1:5" ht="15.75" hidden="1">
      <c r="A60" s="9" t="s">
        <v>138</v>
      </c>
      <c r="B60" s="63"/>
      <c r="C60" s="63">
        <v>1500</v>
      </c>
      <c r="D60" s="63">
        <v>14</v>
      </c>
      <c r="E60" s="143">
        <f t="shared" si="4"/>
        <v>210</v>
      </c>
    </row>
    <row r="61" spans="1:5" ht="15.75" hidden="1">
      <c r="A61" s="9" t="s">
        <v>139</v>
      </c>
      <c r="B61" s="63"/>
      <c r="C61" s="63">
        <v>1500</v>
      </c>
      <c r="D61" s="63">
        <v>14</v>
      </c>
      <c r="E61" s="143">
        <f t="shared" si="4"/>
        <v>210</v>
      </c>
    </row>
    <row r="62" spans="1:5" ht="15.75" hidden="1">
      <c r="A62" s="9" t="s">
        <v>140</v>
      </c>
      <c r="B62" s="63"/>
      <c r="C62" s="63">
        <v>700</v>
      </c>
      <c r="D62" s="63">
        <v>14</v>
      </c>
      <c r="E62" s="143">
        <f t="shared" si="4"/>
        <v>98</v>
      </c>
    </row>
    <row r="63" spans="1:5" ht="15.75" hidden="1">
      <c r="A63" s="9" t="s">
        <v>141</v>
      </c>
      <c r="B63" s="63"/>
      <c r="C63" s="63">
        <v>1100</v>
      </c>
      <c r="D63" s="63">
        <v>14</v>
      </c>
      <c r="E63" s="143">
        <f t="shared" si="4"/>
        <v>154</v>
      </c>
    </row>
    <row r="64" spans="1:5" ht="15.75" hidden="1">
      <c r="A64" s="148" t="s">
        <v>147</v>
      </c>
      <c r="B64" s="149"/>
      <c r="C64" s="149"/>
      <c r="D64" s="149"/>
      <c r="E64" s="150">
        <f>E53+E54+E58+(E57*10%)</f>
        <v>2550</v>
      </c>
    </row>
    <row r="65" spans="1:5" ht="16.5" hidden="1" thickBot="1">
      <c r="A65" s="145" t="s">
        <v>51</v>
      </c>
      <c r="B65" s="146" t="s">
        <v>10</v>
      </c>
      <c r="C65" s="146">
        <f>SUM(C53:C63)</f>
        <v>126500</v>
      </c>
      <c r="D65" s="146" t="s">
        <v>10</v>
      </c>
      <c r="E65" s="105">
        <f>SUM(E53:E63)</f>
        <v>4510</v>
      </c>
    </row>
  </sheetData>
  <mergeCells count="19">
    <mergeCell ref="A42:E42"/>
    <mergeCell ref="A43:A44"/>
    <mergeCell ref="B43:E43"/>
    <mergeCell ref="B45:C45"/>
    <mergeCell ref="F43:F44"/>
    <mergeCell ref="H11:H12"/>
    <mergeCell ref="G43:G44"/>
    <mergeCell ref="H43:K43"/>
    <mergeCell ref="G11:G12"/>
    <mergeCell ref="H45:I45"/>
    <mergeCell ref="A51:E51"/>
    <mergeCell ref="A19:E19"/>
    <mergeCell ref="A1:J1"/>
    <mergeCell ref="A3:E3"/>
    <mergeCell ref="F3:J3"/>
    <mergeCell ref="D4:E4"/>
    <mergeCell ref="I11:I12"/>
    <mergeCell ref="J11:J12"/>
    <mergeCell ref="F11:F12"/>
  </mergeCells>
  <printOptions horizontalCentered="1" verticalCentered="1"/>
  <pageMargins left="0.2755905511811024" right="0.31496062992125984" top="0.64" bottom="0.59" header="0" footer="0"/>
  <pageSetup horizontalDpi="600" verticalDpi="600" orientation="landscape" paperSize="9" scale="79" r:id="rId1"/>
  <headerFooter alignWithMargins="0">
    <oddHeader>&amp;R&amp;14&amp;A &amp;12&amp;P. lappuse</oddHeader>
    <oddFooter>&amp;CStratēģijas un kopsavilkuma nodaļa
Dainis Saukāns, tel 7027346, fakss 7027514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30">
      <selection activeCell="E41" sqref="E41"/>
    </sheetView>
  </sheetViews>
  <sheetFormatPr defaultColWidth="9.00390625" defaultRowHeight="15.75"/>
  <cols>
    <col min="1" max="1" width="28.125" style="61" customWidth="1"/>
    <col min="2" max="2" width="9.875" style="61" customWidth="1"/>
    <col min="3" max="3" width="8.50390625" style="61" customWidth="1"/>
    <col min="4" max="4" width="11.625" style="61" customWidth="1"/>
    <col min="5" max="5" width="9.625" style="61" customWidth="1"/>
    <col min="6" max="6" width="26.125" style="61" customWidth="1"/>
    <col min="7" max="7" width="10.00390625" style="61" customWidth="1"/>
    <col min="8" max="8" width="9.625" style="61" customWidth="1"/>
    <col min="9" max="9" width="7.625" style="61" customWidth="1"/>
    <col min="10" max="10" width="7.25390625" style="61" customWidth="1"/>
    <col min="11" max="11" width="10.25390625" style="0" customWidth="1"/>
  </cols>
  <sheetData>
    <row r="1" spans="1:10" ht="15.75">
      <c r="A1" s="222" t="s">
        <v>238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16.5" thickBot="1"/>
    <row r="3" spans="1:10" ht="17.25" thickTop="1">
      <c r="A3" s="217" t="s">
        <v>0</v>
      </c>
      <c r="B3" s="218"/>
      <c r="C3" s="218"/>
      <c r="D3" s="218"/>
      <c r="E3" s="219"/>
      <c r="F3" s="218" t="s">
        <v>1</v>
      </c>
      <c r="G3" s="205"/>
      <c r="H3" s="205"/>
      <c r="I3" s="205"/>
      <c r="J3" s="206"/>
    </row>
    <row r="4" spans="1:10" ht="31.5">
      <c r="A4" s="1" t="s">
        <v>2</v>
      </c>
      <c r="B4" s="2" t="s">
        <v>3</v>
      </c>
      <c r="C4" s="3" t="s">
        <v>4</v>
      </c>
      <c r="D4" s="207"/>
      <c r="E4" s="208"/>
      <c r="F4" s="4" t="s">
        <v>5</v>
      </c>
      <c r="G4" s="2" t="s">
        <v>3</v>
      </c>
      <c r="H4" s="2" t="s">
        <v>6</v>
      </c>
      <c r="I4" s="5" t="s">
        <v>7</v>
      </c>
      <c r="J4" s="6" t="s">
        <v>8</v>
      </c>
    </row>
    <row r="5" spans="1:10" ht="15.75">
      <c r="A5" s="62" t="s">
        <v>9</v>
      </c>
      <c r="B5" s="63"/>
      <c r="C5" s="64" t="s">
        <v>10</v>
      </c>
      <c r="D5" s="119"/>
      <c r="E5" s="120"/>
      <c r="F5" s="7" t="s">
        <v>11</v>
      </c>
      <c r="H5" s="65">
        <f>SUM(H6:H7)</f>
        <v>5760</v>
      </c>
      <c r="I5" s="66">
        <f aca="true" t="shared" si="0" ref="I5:I14">ROUND(H5/$B$25,2)</f>
        <v>46.47</v>
      </c>
      <c r="J5" s="8">
        <f>ROUND(H5/$H$38%,2)</f>
        <v>12.67</v>
      </c>
    </row>
    <row r="6" spans="1:10" ht="15.75">
      <c r="A6" s="9" t="s">
        <v>12</v>
      </c>
      <c r="B6" s="67">
        <f>ROUND(B12/200,0)</f>
        <v>4</v>
      </c>
      <c r="C6" s="63">
        <v>120</v>
      </c>
      <c r="D6" s="121"/>
      <c r="E6" s="122"/>
      <c r="F6" s="10" t="s">
        <v>13</v>
      </c>
      <c r="G6" s="63">
        <v>120</v>
      </c>
      <c r="H6" s="63">
        <f>B6*C6*12</f>
        <v>5760</v>
      </c>
      <c r="I6" s="66">
        <f t="shared" si="0"/>
        <v>46.47</v>
      </c>
      <c r="J6" s="69">
        <f>ROUND(H6/$H$5%,2)</f>
        <v>100</v>
      </c>
    </row>
    <row r="7" spans="1:10" ht="15.75">
      <c r="A7" s="9" t="s">
        <v>14</v>
      </c>
      <c r="B7" s="63"/>
      <c r="C7" s="63">
        <v>120</v>
      </c>
      <c r="D7" s="121"/>
      <c r="E7" s="122"/>
      <c r="F7" s="10" t="s">
        <v>15</v>
      </c>
      <c r="G7" s="63">
        <v>100</v>
      </c>
      <c r="H7" s="63">
        <f>B7*G7*3</f>
        <v>0</v>
      </c>
      <c r="I7" s="66">
        <f t="shared" si="0"/>
        <v>0</v>
      </c>
      <c r="J7" s="69">
        <f>ROUND(H7/$H$5%,2)</f>
        <v>0</v>
      </c>
    </row>
    <row r="8" spans="1:10" ht="15.75">
      <c r="A8" s="62" t="s">
        <v>16</v>
      </c>
      <c r="B8" s="63">
        <f>SUM(B9:B11)</f>
        <v>61.54</v>
      </c>
      <c r="C8" s="64" t="s">
        <v>10</v>
      </c>
      <c r="D8" s="121"/>
      <c r="E8" s="122"/>
      <c r="F8" s="7" t="s">
        <v>17</v>
      </c>
      <c r="G8" s="71">
        <v>27</v>
      </c>
      <c r="H8" s="65">
        <f>H5*G8%</f>
        <v>1555.2</v>
      </c>
      <c r="I8" s="66">
        <f t="shared" si="0"/>
        <v>12.55</v>
      </c>
      <c r="J8" s="8">
        <f>ROUND(H8/$H$38%,2)</f>
        <v>3.42</v>
      </c>
    </row>
    <row r="9" spans="1:10" ht="15.75">
      <c r="A9" s="9" t="s">
        <v>131</v>
      </c>
      <c r="B9" s="63">
        <f>ROUND(B13*0.06+B14*0.08+B15*0.06+B16*0.025,2)</f>
        <v>57.54</v>
      </c>
      <c r="C9" s="64" t="s">
        <v>10</v>
      </c>
      <c r="D9" s="121"/>
      <c r="E9" s="122"/>
      <c r="F9" s="11" t="s">
        <v>155</v>
      </c>
      <c r="G9" s="176">
        <f>SUM(G10:G14)</f>
        <v>997.5005555555551</v>
      </c>
      <c r="H9" s="73">
        <f>SUM(H10:H15)</f>
        <v>15150.318999999992</v>
      </c>
      <c r="I9" s="74">
        <f t="shared" si="0"/>
        <v>122.24</v>
      </c>
      <c r="J9" s="75">
        <f>ROUND(H9/$H$38%,2)</f>
        <v>33.33</v>
      </c>
    </row>
    <row r="10" spans="1:10" ht="15.75">
      <c r="A10" s="9" t="s">
        <v>132</v>
      </c>
      <c r="B10" s="63">
        <f>ROUND(G14/45,1)</f>
        <v>4</v>
      </c>
      <c r="C10" s="64"/>
      <c r="D10" s="121"/>
      <c r="E10" s="122"/>
      <c r="F10" s="10" t="s">
        <v>21</v>
      </c>
      <c r="G10" s="123">
        <f>(B13*B46)+(C46*B14)+(B15*E46)+(D46*B16)</f>
        <v>755.0333333333331</v>
      </c>
      <c r="H10" s="123">
        <f>G10*F46</f>
        <v>2567.1133333333323</v>
      </c>
      <c r="I10" s="66">
        <f t="shared" si="0"/>
        <v>20.71</v>
      </c>
      <c r="J10" s="69">
        <f>ROUND(H10/$H$9%,2)</f>
        <v>16.94</v>
      </c>
    </row>
    <row r="11" spans="1:10" ht="15.75">
      <c r="A11" s="9" t="s">
        <v>20</v>
      </c>
      <c r="B11" s="63">
        <f>ROUND(G13/150,1)</f>
        <v>0</v>
      </c>
      <c r="C11" s="64" t="s">
        <v>10</v>
      </c>
      <c r="D11" s="121"/>
      <c r="E11" s="122"/>
      <c r="F11" s="250" t="s">
        <v>125</v>
      </c>
      <c r="G11" s="256">
        <f>(B13*B47)+(C47*B14)+(B15*E47)+(D47*B16)</f>
        <v>61.989444444444416</v>
      </c>
      <c r="H11" s="256">
        <f>G11*G47</f>
        <v>8058.627777777774</v>
      </c>
      <c r="I11" s="220">
        <f t="shared" si="0"/>
        <v>65.02</v>
      </c>
      <c r="J11" s="223">
        <f>ROUND(H11/$H$9%,2)</f>
        <v>53.19</v>
      </c>
    </row>
    <row r="12" spans="1:10" ht="15.75">
      <c r="A12" s="76" t="s">
        <v>22</v>
      </c>
      <c r="B12" s="160">
        <f>SUM(B13:B15)</f>
        <v>750.722222222222</v>
      </c>
      <c r="C12" s="77" t="s">
        <v>10</v>
      </c>
      <c r="D12" s="121"/>
      <c r="E12" s="122"/>
      <c r="F12" s="251"/>
      <c r="G12" s="257"/>
      <c r="H12" s="257"/>
      <c r="I12" s="221">
        <f t="shared" si="0"/>
        <v>0</v>
      </c>
      <c r="J12" s="224">
        <f>ROUND(H12/$H$9%,2)</f>
        <v>0</v>
      </c>
    </row>
    <row r="13" spans="1:10" ht="15.75">
      <c r="A13" s="9" t="s">
        <v>24</v>
      </c>
      <c r="B13" s="160">
        <v>274.722222222222</v>
      </c>
      <c r="C13" s="68">
        <f>'Vaislas dzīvnieku izmaksas'!C106</f>
        <v>196.41345431789748</v>
      </c>
      <c r="D13" s="121"/>
      <c r="E13" s="122"/>
      <c r="F13" s="10"/>
      <c r="G13" s="123"/>
      <c r="H13" s="123"/>
      <c r="I13" s="66"/>
      <c r="J13" s="69"/>
    </row>
    <row r="14" spans="1:10" ht="15.75">
      <c r="A14" s="9" t="s">
        <v>26</v>
      </c>
      <c r="B14" s="67">
        <f>ROUND(B13/45,0)</f>
        <v>6</v>
      </c>
      <c r="C14" s="64">
        <v>225</v>
      </c>
      <c r="D14" s="121"/>
      <c r="E14" s="122"/>
      <c r="F14" s="10" t="s">
        <v>29</v>
      </c>
      <c r="G14" s="123">
        <f>(B13*B48)+(C48*B14)+(B15*E48)+(D48*B16)</f>
        <v>180.47777777777767</v>
      </c>
      <c r="H14" s="123">
        <f>G14*G48</f>
        <v>4524.577888888886</v>
      </c>
      <c r="I14" s="66">
        <f t="shared" si="0"/>
        <v>36.51</v>
      </c>
      <c r="J14" s="69">
        <f>ROUND(H14/$H$9%,2)</f>
        <v>29.86</v>
      </c>
    </row>
    <row r="15" spans="1:10" ht="15.75">
      <c r="A15" s="9" t="s">
        <v>32</v>
      </c>
      <c r="B15" s="67">
        <f>ROUND(B16-(B16*5%),0)</f>
        <v>470</v>
      </c>
      <c r="C15" s="64" t="s">
        <v>10</v>
      </c>
      <c r="D15" s="121"/>
      <c r="E15" s="122"/>
      <c r="F15" s="130"/>
      <c r="G15" s="63"/>
      <c r="H15" s="63"/>
      <c r="I15" s="66"/>
      <c r="J15" s="69"/>
    </row>
    <row r="16" spans="1:10" ht="15.75">
      <c r="A16" s="9" t="s">
        <v>156</v>
      </c>
      <c r="B16" s="67">
        <f>ROUND(B13*1.8,0)</f>
        <v>495</v>
      </c>
      <c r="C16" s="64" t="s">
        <v>10</v>
      </c>
      <c r="D16" s="121"/>
      <c r="E16" s="122"/>
      <c r="F16" s="7" t="s">
        <v>126</v>
      </c>
      <c r="G16" s="63"/>
      <c r="H16" s="65">
        <v>100</v>
      </c>
      <c r="I16" s="66">
        <f aca="true" t="shared" si="1" ref="I16:I33">ROUND(H16/$B$25,2)</f>
        <v>0.81</v>
      </c>
      <c r="J16" s="8">
        <f aca="true" t="shared" si="2" ref="J16:J25">ROUND(H16/$H$38%,2)</f>
        <v>0.22</v>
      </c>
    </row>
    <row r="17" spans="1:11" ht="15.75">
      <c r="A17" s="62" t="s">
        <v>36</v>
      </c>
      <c r="B17" s="78">
        <f>ROUND((B16*10%)+(B15*5%),0)</f>
        <v>73</v>
      </c>
      <c r="C17" s="79">
        <v>50</v>
      </c>
      <c r="D17" s="121"/>
      <c r="E17" s="122"/>
      <c r="F17" s="7" t="s">
        <v>39</v>
      </c>
      <c r="G17" s="63">
        <f>Dati!B15/1000</f>
        <v>0.272</v>
      </c>
      <c r="H17" s="65">
        <f>K17*G17</f>
        <v>48.96</v>
      </c>
      <c r="I17" s="66">
        <f t="shared" si="1"/>
        <v>0.4</v>
      </c>
      <c r="J17" s="8">
        <f t="shared" si="2"/>
        <v>0.11</v>
      </c>
      <c r="K17" s="166">
        <v>180</v>
      </c>
    </row>
    <row r="18" spans="1:10" ht="16.5" thickBot="1">
      <c r="A18" s="14" t="s">
        <v>38</v>
      </c>
      <c r="B18" s="161">
        <f>B14+B13</f>
        <v>280.722222222222</v>
      </c>
      <c r="C18" s="79">
        <f>ROUND((B14*225+B13*'Vaislas dzīvnieku izmaksas'!C106)/'3. pielikums'!B18,2)</f>
        <v>197.02</v>
      </c>
      <c r="D18" s="121"/>
      <c r="E18" s="122"/>
      <c r="F18" s="7" t="s">
        <v>41</v>
      </c>
      <c r="G18" s="63">
        <v>6</v>
      </c>
      <c r="H18" s="65">
        <v>196</v>
      </c>
      <c r="I18" s="66">
        <f t="shared" si="1"/>
        <v>1.58</v>
      </c>
      <c r="J18" s="8">
        <f t="shared" si="2"/>
        <v>0.43</v>
      </c>
    </row>
    <row r="19" spans="1:10" ht="17.25" thickTop="1">
      <c r="A19" s="217" t="s">
        <v>40</v>
      </c>
      <c r="B19" s="218"/>
      <c r="C19" s="218"/>
      <c r="D19" s="218"/>
      <c r="E19" s="219"/>
      <c r="F19" s="19" t="s">
        <v>71</v>
      </c>
      <c r="G19" s="82"/>
      <c r="H19" s="83"/>
      <c r="I19" s="84">
        <f t="shared" si="1"/>
        <v>0</v>
      </c>
      <c r="J19" s="85">
        <f t="shared" si="2"/>
        <v>0</v>
      </c>
    </row>
    <row r="20" spans="1:10" ht="28.5">
      <c r="A20" s="15" t="s">
        <v>2</v>
      </c>
      <c r="B20" s="16" t="s">
        <v>3</v>
      </c>
      <c r="C20" s="16" t="s">
        <v>4</v>
      </c>
      <c r="D20" s="17" t="s">
        <v>42</v>
      </c>
      <c r="E20" s="18" t="s">
        <v>8</v>
      </c>
      <c r="F20" s="19" t="s">
        <v>44</v>
      </c>
      <c r="G20" s="159">
        <f>(B13+B15+B14)</f>
        <v>750.722222222222</v>
      </c>
      <c r="H20" s="159">
        <f>G20*0.035</f>
        <v>26.27527777777777</v>
      </c>
      <c r="I20" s="84">
        <f t="shared" si="1"/>
        <v>0.21</v>
      </c>
      <c r="J20" s="85">
        <f t="shared" si="2"/>
        <v>0.06</v>
      </c>
    </row>
    <row r="21" spans="1:10" ht="31.5">
      <c r="A21" s="62" t="s">
        <v>43</v>
      </c>
      <c r="B21" s="123">
        <f>ROUND(($B$15*0.55)-5%+(B13*5%*0.8),3)</f>
        <v>269.439</v>
      </c>
      <c r="C21" s="64" t="s">
        <v>10</v>
      </c>
      <c r="D21" s="64" t="s">
        <v>10</v>
      </c>
      <c r="E21" s="8" t="s">
        <v>10</v>
      </c>
      <c r="F21" s="128" t="s">
        <v>127</v>
      </c>
      <c r="G21" s="129"/>
      <c r="H21" s="83">
        <f>1.5*SUM(B13:B14,B16)</f>
        <v>1163.583333333333</v>
      </c>
      <c r="I21" s="84">
        <f t="shared" si="1"/>
        <v>9.39</v>
      </c>
      <c r="J21" s="85">
        <f t="shared" si="2"/>
        <v>2.56</v>
      </c>
    </row>
    <row r="22" spans="1:10" ht="15.75">
      <c r="A22" s="9" t="s">
        <v>45</v>
      </c>
      <c r="B22" s="67">
        <v>46</v>
      </c>
      <c r="C22" s="64" t="s">
        <v>10</v>
      </c>
      <c r="D22" s="64" t="s">
        <v>10</v>
      </c>
      <c r="E22" s="8" t="s">
        <v>10</v>
      </c>
      <c r="F22" s="7" t="s">
        <v>48</v>
      </c>
      <c r="G22" s="63"/>
      <c r="H22" s="65">
        <f>C55*0.5%</f>
        <v>275</v>
      </c>
      <c r="I22" s="66">
        <f t="shared" si="1"/>
        <v>2.22</v>
      </c>
      <c r="J22" s="8">
        <f t="shared" si="2"/>
        <v>0.6</v>
      </c>
    </row>
    <row r="23" spans="1:10" ht="15.75">
      <c r="A23" s="62" t="s">
        <v>47</v>
      </c>
      <c r="B23" s="63">
        <f>ROUND(B21*B22%,3)</f>
        <v>123.942</v>
      </c>
      <c r="C23" s="68">
        <v>172.4043478260869</v>
      </c>
      <c r="D23" s="68">
        <f>B23*C23</f>
        <v>21368.13967826086</v>
      </c>
      <c r="E23" s="8">
        <f>ROUND(D23/$D$33%,2)</f>
        <v>80.27</v>
      </c>
      <c r="F23" s="7" t="s">
        <v>50</v>
      </c>
      <c r="G23" s="63"/>
      <c r="H23" s="65">
        <v>100</v>
      </c>
      <c r="I23" s="66">
        <f t="shared" si="1"/>
        <v>0.81</v>
      </c>
      <c r="J23" s="8">
        <f t="shared" si="2"/>
        <v>0.22</v>
      </c>
    </row>
    <row r="24" spans="1:10" ht="15.75">
      <c r="A24" s="20" t="s">
        <v>49</v>
      </c>
      <c r="B24" s="67"/>
      <c r="C24" s="64"/>
      <c r="D24" s="64">
        <f>B24*C24</f>
        <v>0</v>
      </c>
      <c r="E24" s="8">
        <f>ROUND(D24/$D$33%,2)</f>
        <v>0</v>
      </c>
      <c r="F24" s="7" t="s">
        <v>52</v>
      </c>
      <c r="G24" s="63"/>
      <c r="H24" s="65">
        <v>120</v>
      </c>
      <c r="I24" s="66">
        <f t="shared" si="1"/>
        <v>0.97</v>
      </c>
      <c r="J24" s="8">
        <f t="shared" si="2"/>
        <v>0.26</v>
      </c>
    </row>
    <row r="25" spans="1:10" ht="15.75">
      <c r="A25" s="21" t="s">
        <v>51</v>
      </c>
      <c r="B25" s="86">
        <f>SUM(B23:B24)</f>
        <v>123.942</v>
      </c>
      <c r="C25" s="87" t="s">
        <v>10</v>
      </c>
      <c r="D25" s="147">
        <f>SUM(D23:D24)</f>
        <v>21368.13967826086</v>
      </c>
      <c r="E25" s="8">
        <f>ROUND(D25/$D$33%,2)</f>
        <v>80.27</v>
      </c>
      <c r="F25" s="61" t="s">
        <v>130</v>
      </c>
      <c r="G25" s="63"/>
      <c r="H25" s="65">
        <f>ROUND((225*B14/3)+(B13*'Vaislas dzīvnieku izmaksas'!C106/5),2)</f>
        <v>11241.83</v>
      </c>
      <c r="I25" s="66">
        <f t="shared" si="1"/>
        <v>90.7</v>
      </c>
      <c r="J25" s="8">
        <f t="shared" si="2"/>
        <v>24.73</v>
      </c>
    </row>
    <row r="26" spans="1:10" ht="15.75">
      <c r="A26" s="20" t="s">
        <v>53</v>
      </c>
      <c r="B26" s="123">
        <f>(2.5*B13+2.5*B14+1.2*B15)/100</f>
        <v>12.65805555555555</v>
      </c>
      <c r="C26" s="64">
        <v>68.44</v>
      </c>
      <c r="D26" s="68">
        <f>B26*C26</f>
        <v>866.3173222222217</v>
      </c>
      <c r="E26" s="8">
        <f>ROUND(D26/$D$33%,2)</f>
        <v>3.25</v>
      </c>
      <c r="F26" s="7" t="s">
        <v>55</v>
      </c>
      <c r="G26" s="63"/>
      <c r="H26" s="65">
        <f>E63</f>
        <v>2312</v>
      </c>
      <c r="I26" s="66">
        <f t="shared" si="1"/>
        <v>18.65</v>
      </c>
      <c r="J26" s="8">
        <f>ROUND(H26/$H$38%,2)</f>
        <v>5.09</v>
      </c>
    </row>
    <row r="27" spans="1:10" ht="15.75">
      <c r="A27" s="20" t="s">
        <v>54</v>
      </c>
      <c r="B27" s="63"/>
      <c r="C27" s="64"/>
      <c r="D27" s="64"/>
      <c r="E27" s="8"/>
      <c r="F27" s="7" t="s">
        <v>57</v>
      </c>
      <c r="G27" s="63">
        <f>ROUND(B18*C18,2)</f>
        <v>55307.89</v>
      </c>
      <c r="H27" s="65"/>
      <c r="I27" s="90">
        <f t="shared" si="1"/>
        <v>0</v>
      </c>
      <c r="J27" s="8">
        <f>ROUND(H27/$H$38%,2)</f>
        <v>0</v>
      </c>
    </row>
    <row r="28" spans="1:10" ht="15.75">
      <c r="A28" s="9" t="s">
        <v>56</v>
      </c>
      <c r="B28" s="63"/>
      <c r="C28" s="64"/>
      <c r="D28" s="64"/>
      <c r="E28" s="8"/>
      <c r="F28" s="22" t="s">
        <v>59</v>
      </c>
      <c r="G28" s="63">
        <v>15</v>
      </c>
      <c r="H28" s="127">
        <f>ROUND(((G27/4)*G28%),2)</f>
        <v>2074.05</v>
      </c>
      <c r="I28" s="66">
        <f t="shared" si="1"/>
        <v>16.73</v>
      </c>
      <c r="J28" s="8">
        <f>ROUND(H28/$H$38%,2)</f>
        <v>4.56</v>
      </c>
    </row>
    <row r="29" spans="1:10" ht="15.75">
      <c r="A29" s="9" t="s">
        <v>129</v>
      </c>
      <c r="B29" s="63">
        <f>ROUND($B$15+($B$15*5%),0)</f>
        <v>494</v>
      </c>
      <c r="C29" s="64">
        <v>5</v>
      </c>
      <c r="D29" s="64">
        <f>B29*C29</f>
        <v>2470</v>
      </c>
      <c r="E29" s="8">
        <f>ROUND(D29/$D$33%,2)</f>
        <v>9.28</v>
      </c>
      <c r="F29" s="7" t="s">
        <v>61</v>
      </c>
      <c r="G29" s="63">
        <f>B17</f>
        <v>73</v>
      </c>
      <c r="H29" s="65">
        <f>G29*C17</f>
        <v>3650</v>
      </c>
      <c r="I29" s="66">
        <f t="shared" si="1"/>
        <v>29.45</v>
      </c>
      <c r="J29" s="8">
        <f>ROUND(H29/$H$38%,2)</f>
        <v>8.03</v>
      </c>
    </row>
    <row r="30" spans="1:10" ht="15.75">
      <c r="A30" s="20" t="s">
        <v>60</v>
      </c>
      <c r="B30" s="63">
        <f>ROUND(B12*0.85,1)</f>
        <v>638.1</v>
      </c>
      <c r="C30" s="64">
        <v>3</v>
      </c>
      <c r="D30" s="87">
        <f>B30*C30</f>
        <v>1914.3000000000002</v>
      </c>
      <c r="E30" s="8">
        <f>ROUND(D30/$D$33%,2)</f>
        <v>7.19</v>
      </c>
      <c r="F30" s="24" t="s">
        <v>63</v>
      </c>
      <c r="G30" s="63"/>
      <c r="H30" s="65"/>
      <c r="I30" s="66">
        <f t="shared" si="1"/>
        <v>0</v>
      </c>
      <c r="J30" s="88"/>
    </row>
    <row r="31" spans="1:10" ht="15.75">
      <c r="A31" s="23" t="s">
        <v>62</v>
      </c>
      <c r="B31" s="86" t="s">
        <v>10</v>
      </c>
      <c r="C31" s="87" t="s">
        <v>10</v>
      </c>
      <c r="D31" s="147">
        <f>SUM(D25:D30)</f>
        <v>26618.75700048308</v>
      </c>
      <c r="E31" s="8" t="s">
        <v>10</v>
      </c>
      <c r="F31" s="25">
        <v>0.25</v>
      </c>
      <c r="G31" s="63"/>
      <c r="H31" s="65">
        <f>F31*$B$15</f>
        <v>117.5</v>
      </c>
      <c r="I31" s="66">
        <f t="shared" si="1"/>
        <v>0.95</v>
      </c>
      <c r="J31" s="8">
        <f>ROUND(H31/$H$38%,2)</f>
        <v>0.26</v>
      </c>
    </row>
    <row r="32" spans="1:10" ht="15.75">
      <c r="A32" s="20" t="s">
        <v>64</v>
      </c>
      <c r="B32" s="65"/>
      <c r="C32" s="87" t="s">
        <v>10</v>
      </c>
      <c r="D32" s="65">
        <v>0</v>
      </c>
      <c r="E32" s="8">
        <f>ROUND(D32/$D$33%,2)</f>
        <v>0</v>
      </c>
      <c r="F32" s="25">
        <v>1</v>
      </c>
      <c r="G32" s="63"/>
      <c r="H32" s="65">
        <f>F32*$B$15</f>
        <v>470</v>
      </c>
      <c r="I32" s="66">
        <f t="shared" si="1"/>
        <v>3.79</v>
      </c>
      <c r="J32" s="8">
        <f>ROUND(H32/$H$38%,2)</f>
        <v>1.03</v>
      </c>
    </row>
    <row r="33" spans="1:10" ht="15.75">
      <c r="A33" s="26" t="s">
        <v>65</v>
      </c>
      <c r="B33" s="86" t="s">
        <v>10</v>
      </c>
      <c r="C33" s="87" t="s">
        <v>10</v>
      </c>
      <c r="D33" s="147">
        <f>SUM(D31:D32)</f>
        <v>26618.75700048308</v>
      </c>
      <c r="E33" s="91">
        <f>ROUND(D33/$D$33%,2)</f>
        <v>100</v>
      </c>
      <c r="F33" s="7" t="s">
        <v>66</v>
      </c>
      <c r="G33" s="63"/>
      <c r="H33" s="65">
        <v>1200</v>
      </c>
      <c r="I33" s="66">
        <f t="shared" si="1"/>
        <v>9.68</v>
      </c>
      <c r="J33" s="8">
        <f>ROUND(H33/$H$38%,2)</f>
        <v>2.64</v>
      </c>
    </row>
    <row r="34" spans="1:10" ht="15.75">
      <c r="A34" s="116"/>
      <c r="B34" s="117"/>
      <c r="C34" s="117"/>
      <c r="D34" s="117"/>
      <c r="E34" s="118"/>
      <c r="F34" s="7"/>
      <c r="G34" s="63"/>
      <c r="H34" s="65"/>
      <c r="I34" s="66"/>
      <c r="J34" s="8"/>
    </row>
    <row r="35" spans="1:10" ht="15.75">
      <c r="A35" s="29" t="s">
        <v>68</v>
      </c>
      <c r="B35" s="94" t="s">
        <v>10</v>
      </c>
      <c r="C35" s="95" t="s">
        <v>10</v>
      </c>
      <c r="D35" s="151">
        <f>ROUND(D33-H38,2)</f>
        <v>-18841.96</v>
      </c>
      <c r="E35" s="30"/>
      <c r="F35" s="31"/>
      <c r="G35" s="80"/>
      <c r="H35" s="80"/>
      <c r="I35" s="96">
        <f>ROUND(H35/$B$25,2)</f>
        <v>0</v>
      </c>
      <c r="J35" s="8">
        <f>ROUND(H35/$H$38%,2)</f>
        <v>0</v>
      </c>
    </row>
    <row r="36" spans="1:10" ht="15.75">
      <c r="A36" s="33" t="s">
        <v>69</v>
      </c>
      <c r="B36" s="98" t="s">
        <v>10</v>
      </c>
      <c r="C36" s="98" t="s">
        <v>10</v>
      </c>
      <c r="D36" s="93">
        <f>ROUND(D35/$H$38%,2)</f>
        <v>-41.45</v>
      </c>
      <c r="E36" s="34"/>
      <c r="F36" s="31"/>
      <c r="G36" s="80"/>
      <c r="H36" s="80"/>
      <c r="I36" s="96"/>
      <c r="J36" s="97"/>
    </row>
    <row r="37" spans="1:10" ht="15.75">
      <c r="A37" s="198" t="s">
        <v>245</v>
      </c>
      <c r="B37" s="199" t="s">
        <v>10</v>
      </c>
      <c r="C37" s="200" t="s">
        <v>10</v>
      </c>
      <c r="D37" s="201">
        <f>D33-SUM(H5,H8,H9,H20,H21)</f>
        <v>2963.3793893719776</v>
      </c>
      <c r="E37" s="32"/>
      <c r="F37" s="31"/>
      <c r="G37" s="80"/>
      <c r="H37" s="80"/>
      <c r="I37" s="96">
        <f>ROUND(H37/$B$25,2)</f>
        <v>0</v>
      </c>
      <c r="J37" s="99"/>
    </row>
    <row r="38" spans="1:10" ht="16.5" thickBot="1">
      <c r="A38" s="202" t="s">
        <v>246</v>
      </c>
      <c r="B38" s="203" t="s">
        <v>10</v>
      </c>
      <c r="C38" s="203" t="s">
        <v>10</v>
      </c>
      <c r="D38" s="204">
        <f>ROUND(D37/SUM(H5,H8:H9,H21,H20)%,2)</f>
        <v>12.53</v>
      </c>
      <c r="E38" s="36"/>
      <c r="F38" s="37" t="s">
        <v>70</v>
      </c>
      <c r="G38" s="102"/>
      <c r="H38" s="103">
        <f>SUM(H5,H8,H9,H17:H35)</f>
        <v>45460.717611111104</v>
      </c>
      <c r="I38" s="104">
        <f>ROUND(H38/$B$25,2)</f>
        <v>366.79</v>
      </c>
      <c r="J38" s="105">
        <f>SUM(J5,J8,J9,J17:J35)</f>
        <v>100.00000000000001</v>
      </c>
    </row>
    <row r="39" ht="16.5" thickTop="1"/>
    <row r="42" spans="1:5" ht="16.5" thickBot="1">
      <c r="A42" s="255" t="s">
        <v>242</v>
      </c>
      <c r="B42" s="255"/>
      <c r="C42" s="255"/>
      <c r="D42" s="255"/>
      <c r="E42" s="255"/>
    </row>
    <row r="43" spans="1:11" ht="16.5" customHeight="1" thickTop="1">
      <c r="A43" s="226"/>
      <c r="B43" s="228" t="s">
        <v>153</v>
      </c>
      <c r="C43" s="229"/>
      <c r="D43" s="229"/>
      <c r="E43" s="230"/>
      <c r="F43" s="231" t="s">
        <v>243</v>
      </c>
      <c r="G43" s="231" t="s">
        <v>244</v>
      </c>
      <c r="H43" s="228" t="s">
        <v>154</v>
      </c>
      <c r="I43" s="229"/>
      <c r="J43" s="229"/>
      <c r="K43" s="252"/>
    </row>
    <row r="44" spans="1:11" ht="63.75" thickBot="1">
      <c r="A44" s="227"/>
      <c r="B44" s="38" t="s">
        <v>79</v>
      </c>
      <c r="C44" s="38" t="s">
        <v>80</v>
      </c>
      <c r="D44" s="38" t="s">
        <v>81</v>
      </c>
      <c r="E44" s="38" t="s">
        <v>128</v>
      </c>
      <c r="F44" s="232"/>
      <c r="G44" s="232"/>
      <c r="H44" s="38" t="s">
        <v>79</v>
      </c>
      <c r="I44" s="38" t="s">
        <v>80</v>
      </c>
      <c r="J44" s="38" t="s">
        <v>81</v>
      </c>
      <c r="K44" s="136" t="s">
        <v>128</v>
      </c>
    </row>
    <row r="45" spans="1:11" ht="15.75">
      <c r="A45" s="41" t="s">
        <v>84</v>
      </c>
      <c r="B45" s="245" t="s">
        <v>106</v>
      </c>
      <c r="C45" s="246"/>
      <c r="D45" s="124" t="s">
        <v>105</v>
      </c>
      <c r="E45" s="124" t="s">
        <v>124</v>
      </c>
      <c r="F45" s="42" t="s">
        <v>10</v>
      </c>
      <c r="G45" s="42" t="s">
        <v>10</v>
      </c>
      <c r="H45" s="245" t="s">
        <v>172</v>
      </c>
      <c r="I45" s="246"/>
      <c r="J45" s="124" t="s">
        <v>105</v>
      </c>
      <c r="K45" s="137" t="s">
        <v>124</v>
      </c>
    </row>
    <row r="46" spans="1:11" ht="15.75">
      <c r="A46" s="44" t="s">
        <v>86</v>
      </c>
      <c r="B46" s="45">
        <v>1.5</v>
      </c>
      <c r="C46" s="125">
        <v>1.5</v>
      </c>
      <c r="D46" s="125">
        <v>0.01</v>
      </c>
      <c r="E46" s="125">
        <v>0.7</v>
      </c>
      <c r="F46" s="155">
        <v>3.4</v>
      </c>
      <c r="G46" s="46" t="s">
        <v>108</v>
      </c>
      <c r="H46" s="156">
        <f>B46*$F46</f>
        <v>5.1</v>
      </c>
      <c r="I46" s="157">
        <f>C46*$F46</f>
        <v>5.1</v>
      </c>
      <c r="J46" s="157">
        <f>D46*$F46</f>
        <v>0.034</v>
      </c>
      <c r="K46" s="158">
        <f>E46*$F46</f>
        <v>2.38</v>
      </c>
    </row>
    <row r="47" spans="1:11" ht="15.75">
      <c r="A47" s="113" t="s">
        <v>104</v>
      </c>
      <c r="B47" s="114">
        <v>0.11</v>
      </c>
      <c r="C47" s="126">
        <v>0.12</v>
      </c>
      <c r="D47" s="126">
        <v>0.02</v>
      </c>
      <c r="E47" s="126">
        <v>0.045</v>
      </c>
      <c r="F47" s="83" t="s">
        <v>108</v>
      </c>
      <c r="G47" s="83">
        <v>130</v>
      </c>
      <c r="H47" s="138">
        <f>B47*$G47</f>
        <v>14.3</v>
      </c>
      <c r="I47" s="45">
        <f>C47*$G47</f>
        <v>15.6</v>
      </c>
      <c r="J47" s="45">
        <f>D47*$G47</f>
        <v>2.6</v>
      </c>
      <c r="K47" s="139">
        <f>E47*$G47</f>
        <v>5.85</v>
      </c>
    </row>
    <row r="48" spans="1:11" ht="15.75">
      <c r="A48" s="44" t="s">
        <v>29</v>
      </c>
      <c r="B48" s="45">
        <v>0.44</v>
      </c>
      <c r="C48" s="125">
        <v>0.45</v>
      </c>
      <c r="D48" s="125">
        <v>0.02</v>
      </c>
      <c r="E48" s="125">
        <v>0.1</v>
      </c>
      <c r="F48" s="46">
        <v>22.63</v>
      </c>
      <c r="G48" s="155">
        <v>25.07</v>
      </c>
      <c r="H48" s="156">
        <f aca="true" t="shared" si="3" ref="H48:K50">B48*$F48</f>
        <v>9.9572</v>
      </c>
      <c r="I48" s="157">
        <f t="shared" si="3"/>
        <v>10.1835</v>
      </c>
      <c r="J48" s="157">
        <f t="shared" si="3"/>
        <v>0.4526</v>
      </c>
      <c r="K48" s="158">
        <f t="shared" si="3"/>
        <v>2.263</v>
      </c>
    </row>
    <row r="49" spans="1:11" ht="15.75">
      <c r="A49" s="44"/>
      <c r="B49" s="45"/>
      <c r="C49" s="125"/>
      <c r="D49" s="125"/>
      <c r="E49" s="125"/>
      <c r="F49" s="42"/>
      <c r="G49" s="46"/>
      <c r="H49" s="138">
        <f t="shared" si="3"/>
        <v>0</v>
      </c>
      <c r="I49" s="45">
        <f t="shared" si="3"/>
        <v>0</v>
      </c>
      <c r="J49" s="45">
        <f t="shared" si="3"/>
        <v>0</v>
      </c>
      <c r="K49" s="139">
        <f t="shared" si="3"/>
        <v>0</v>
      </c>
    </row>
    <row r="50" spans="1:11" ht="16.5" thickBot="1">
      <c r="A50" s="131" t="s">
        <v>94</v>
      </c>
      <c r="B50" s="154">
        <v>1</v>
      </c>
      <c r="C50" s="133">
        <v>1</v>
      </c>
      <c r="D50" s="133"/>
      <c r="E50" s="133">
        <v>1</v>
      </c>
      <c r="F50" s="134"/>
      <c r="G50" s="59"/>
      <c r="H50" s="132">
        <f t="shared" si="3"/>
        <v>0</v>
      </c>
      <c r="I50" s="132">
        <f t="shared" si="3"/>
        <v>0</v>
      </c>
      <c r="J50" s="132">
        <f t="shared" si="3"/>
        <v>0</v>
      </c>
      <c r="K50" s="135">
        <f t="shared" si="3"/>
        <v>0</v>
      </c>
    </row>
    <row r="51" spans="1:11" ht="17.25" thickBot="1" thickTop="1">
      <c r="A51" s="247" t="s">
        <v>55</v>
      </c>
      <c r="B51" s="248"/>
      <c r="C51" s="248"/>
      <c r="D51" s="248"/>
      <c r="E51" s="249"/>
      <c r="F51"/>
      <c r="G51" s="177" t="s">
        <v>191</v>
      </c>
      <c r="H51" s="178">
        <f>SUM(H46:H50)</f>
        <v>29.3572</v>
      </c>
      <c r="I51" s="178">
        <f>SUM(I46:I50)</f>
        <v>30.883499999999998</v>
      </c>
      <c r="J51" s="178">
        <f>SUM(J46:J50)</f>
        <v>3.0866</v>
      </c>
      <c r="K51" s="178">
        <f>SUM(K46:K50)</f>
        <v>10.493</v>
      </c>
    </row>
    <row r="52" spans="1:10" ht="48" thickTop="1">
      <c r="A52" s="140" t="s">
        <v>142</v>
      </c>
      <c r="B52" s="141" t="s">
        <v>143</v>
      </c>
      <c r="C52" s="141" t="s">
        <v>144</v>
      </c>
      <c r="D52" s="141" t="s">
        <v>145</v>
      </c>
      <c r="E52" s="142" t="s">
        <v>146</v>
      </c>
      <c r="F52"/>
      <c r="G52"/>
      <c r="H52"/>
      <c r="I52"/>
      <c r="J52"/>
    </row>
    <row r="53" spans="1:7" ht="15.75">
      <c r="A53" s="62" t="s">
        <v>133</v>
      </c>
      <c r="B53" s="63">
        <v>750</v>
      </c>
      <c r="C53" s="63">
        <v>50000</v>
      </c>
      <c r="D53" s="63">
        <v>4</v>
      </c>
      <c r="E53" s="143">
        <f>ROUND(C53*D53%,2)</f>
        <v>2000</v>
      </c>
      <c r="F53"/>
      <c r="G53"/>
    </row>
    <row r="54" spans="1:7" ht="15.75">
      <c r="A54" s="62" t="s">
        <v>134</v>
      </c>
      <c r="B54" s="144"/>
      <c r="C54" s="144">
        <v>5000</v>
      </c>
      <c r="D54" s="144">
        <v>4</v>
      </c>
      <c r="E54" s="143">
        <f aca="true" t="shared" si="4" ref="E54:E62">ROUND(C54*D54%,2)</f>
        <v>200</v>
      </c>
      <c r="F54"/>
      <c r="G54"/>
    </row>
    <row r="55" spans="1:5" ht="15.75">
      <c r="A55" s="21" t="s">
        <v>150</v>
      </c>
      <c r="B55" s="153"/>
      <c r="C55" s="153">
        <f>SUM(C53:C54)</f>
        <v>55000</v>
      </c>
      <c r="D55" s="153"/>
      <c r="E55" s="91"/>
    </row>
    <row r="56" spans="1:5" ht="15.75" hidden="1">
      <c r="A56" s="62" t="s">
        <v>135</v>
      </c>
      <c r="B56" s="63"/>
      <c r="C56" s="63"/>
      <c r="D56" s="63"/>
      <c r="E56" s="143"/>
    </row>
    <row r="57" spans="1:5" ht="15.75" hidden="1">
      <c r="A57" s="9" t="s">
        <v>136</v>
      </c>
      <c r="B57" s="63"/>
      <c r="C57" s="63">
        <v>8000</v>
      </c>
      <c r="D57" s="63">
        <v>14</v>
      </c>
      <c r="E57" s="143">
        <f t="shared" si="4"/>
        <v>1120</v>
      </c>
    </row>
    <row r="58" spans="1:5" ht="15.75" hidden="1">
      <c r="A58" s="9" t="s">
        <v>137</v>
      </c>
      <c r="B58" s="63"/>
      <c r="C58" s="63">
        <v>2000</v>
      </c>
      <c r="D58" s="63">
        <v>14</v>
      </c>
      <c r="E58" s="143">
        <f t="shared" si="4"/>
        <v>280</v>
      </c>
    </row>
    <row r="59" spans="1:5" ht="15.75" hidden="1">
      <c r="A59" s="9" t="s">
        <v>138</v>
      </c>
      <c r="B59" s="63"/>
      <c r="C59" s="63">
        <v>1500</v>
      </c>
      <c r="D59" s="63">
        <v>14</v>
      </c>
      <c r="E59" s="143">
        <f t="shared" si="4"/>
        <v>210</v>
      </c>
    </row>
    <row r="60" spans="1:5" ht="15.75" hidden="1">
      <c r="A60" s="9" t="s">
        <v>139</v>
      </c>
      <c r="B60" s="63"/>
      <c r="C60" s="63">
        <v>1500</v>
      </c>
      <c r="D60" s="63">
        <v>14</v>
      </c>
      <c r="E60" s="143">
        <f t="shared" si="4"/>
        <v>210</v>
      </c>
    </row>
    <row r="61" spans="1:5" ht="15.75" hidden="1">
      <c r="A61" s="9" t="s">
        <v>140</v>
      </c>
      <c r="B61" s="63"/>
      <c r="C61" s="63">
        <v>700</v>
      </c>
      <c r="D61" s="63">
        <v>14</v>
      </c>
      <c r="E61" s="143">
        <f t="shared" si="4"/>
        <v>98</v>
      </c>
    </row>
    <row r="62" spans="1:5" ht="15.75" hidden="1">
      <c r="A62" s="9" t="s">
        <v>141</v>
      </c>
      <c r="B62" s="63"/>
      <c r="C62" s="63">
        <v>1100</v>
      </c>
      <c r="D62" s="63">
        <v>14</v>
      </c>
      <c r="E62" s="143">
        <f t="shared" si="4"/>
        <v>154</v>
      </c>
    </row>
    <row r="63" spans="1:5" ht="15.75" hidden="1">
      <c r="A63" s="148" t="s">
        <v>147</v>
      </c>
      <c r="B63" s="149"/>
      <c r="C63" s="149"/>
      <c r="D63" s="149"/>
      <c r="E63" s="150">
        <f>E53+E54+(E57*10%)</f>
        <v>2312</v>
      </c>
    </row>
    <row r="64" spans="1:5" ht="16.5" hidden="1" thickBot="1">
      <c r="A64" s="145" t="s">
        <v>51</v>
      </c>
      <c r="B64" s="146" t="s">
        <v>10</v>
      </c>
      <c r="C64" s="146">
        <f>SUM(C53:C62)</f>
        <v>124800</v>
      </c>
      <c r="D64" s="146" t="s">
        <v>10</v>
      </c>
      <c r="E64" s="105">
        <f>SUM(E53:E62)</f>
        <v>4272</v>
      </c>
    </row>
  </sheetData>
  <mergeCells count="19">
    <mergeCell ref="A1:J1"/>
    <mergeCell ref="A3:E3"/>
    <mergeCell ref="F3:J3"/>
    <mergeCell ref="D4:E4"/>
    <mergeCell ref="B45:C45"/>
    <mergeCell ref="H45:I45"/>
    <mergeCell ref="A51:E51"/>
    <mergeCell ref="A42:E42"/>
    <mergeCell ref="F43:F44"/>
    <mergeCell ref="G43:G44"/>
    <mergeCell ref="J11:J12"/>
    <mergeCell ref="A19:E19"/>
    <mergeCell ref="A43:A44"/>
    <mergeCell ref="B43:E43"/>
    <mergeCell ref="H43:K43"/>
    <mergeCell ref="I11:I12"/>
    <mergeCell ref="F11:F12"/>
    <mergeCell ref="G11:G12"/>
    <mergeCell ref="H11:H12"/>
  </mergeCells>
  <printOptions horizontalCentered="1" verticalCentered="1"/>
  <pageMargins left="0.2755905511811024" right="0.31496062992125984" top="0.64" bottom="0.59" header="0.43" footer="0"/>
  <pageSetup horizontalDpi="600" verticalDpi="600" orientation="landscape" paperSize="9" scale="79" r:id="rId1"/>
  <headerFooter alignWithMargins="0">
    <oddHeader>&amp;R&amp;14&amp;A &amp;12&amp;P. lappuse</oddHeader>
    <oddFooter>&amp;CStratēģijas un kopsavilkuma nodaļa
Dainis Saukāns, tel 7027346, fakss 7027514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14">
      <selection activeCell="D37" sqref="D37:D38"/>
    </sheetView>
  </sheetViews>
  <sheetFormatPr defaultColWidth="9.00390625" defaultRowHeight="15.75"/>
  <cols>
    <col min="1" max="1" width="28.125" style="61" customWidth="1"/>
    <col min="2" max="2" width="9.875" style="61" customWidth="1"/>
    <col min="3" max="3" width="8.50390625" style="61" customWidth="1"/>
    <col min="4" max="4" width="11.625" style="61" customWidth="1"/>
    <col min="5" max="5" width="9.625" style="61" customWidth="1"/>
    <col min="6" max="6" width="26.125" style="61" customWidth="1"/>
    <col min="7" max="7" width="10.00390625" style="61" customWidth="1"/>
    <col min="8" max="8" width="9.625" style="61" customWidth="1"/>
    <col min="9" max="9" width="7.625" style="61" customWidth="1"/>
    <col min="10" max="10" width="7.25390625" style="61" customWidth="1"/>
    <col min="11" max="11" width="10.25390625" style="0" customWidth="1"/>
    <col min="12" max="12" width="9.50390625" style="0" bestFit="1" customWidth="1"/>
    <col min="13" max="13" width="9.50390625" style="0" customWidth="1"/>
  </cols>
  <sheetData>
    <row r="1" spans="1:10" ht="15.75">
      <c r="A1" s="222" t="s">
        <v>188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16.5" thickBot="1"/>
    <row r="3" spans="1:10" ht="17.25" thickTop="1">
      <c r="A3" s="217" t="s">
        <v>0</v>
      </c>
      <c r="B3" s="218"/>
      <c r="C3" s="218"/>
      <c r="D3" s="218"/>
      <c r="E3" s="219"/>
      <c r="F3" s="218" t="s">
        <v>1</v>
      </c>
      <c r="G3" s="205"/>
      <c r="H3" s="205"/>
      <c r="I3" s="205"/>
      <c r="J3" s="206"/>
    </row>
    <row r="4" spans="1:10" ht="31.5">
      <c r="A4" s="1" t="s">
        <v>2</v>
      </c>
      <c r="B4" s="2" t="s">
        <v>3</v>
      </c>
      <c r="C4" s="3" t="s">
        <v>4</v>
      </c>
      <c r="D4" s="207"/>
      <c r="E4" s="208"/>
      <c r="F4" s="4" t="s">
        <v>5</v>
      </c>
      <c r="G4" s="2" t="s">
        <v>3</v>
      </c>
      <c r="H4" s="2" t="s">
        <v>6</v>
      </c>
      <c r="I4" s="5" t="s">
        <v>7</v>
      </c>
      <c r="J4" s="6" t="s">
        <v>8</v>
      </c>
    </row>
    <row r="5" spans="1:10" ht="15.75">
      <c r="A5" s="62" t="s">
        <v>9</v>
      </c>
      <c r="B5" s="63"/>
      <c r="C5" s="64" t="s">
        <v>10</v>
      </c>
      <c r="D5" s="119"/>
      <c r="E5" s="120"/>
      <c r="F5" s="7" t="s">
        <v>11</v>
      </c>
      <c r="H5" s="65">
        <f>SUM(H6:H7)</f>
        <v>3180</v>
      </c>
      <c r="I5" s="66">
        <f>ROUND(H5/$B$26,2)</f>
        <v>28.98</v>
      </c>
      <c r="J5" s="8">
        <f>ROUND(H5/$H$39%,2)</f>
        <v>11</v>
      </c>
    </row>
    <row r="6" spans="1:10" ht="15.75">
      <c r="A6" s="9" t="s">
        <v>12</v>
      </c>
      <c r="B6" s="67">
        <f>ROUND(B12/250,0)</f>
        <v>2</v>
      </c>
      <c r="C6" s="63">
        <v>120</v>
      </c>
      <c r="D6" s="121"/>
      <c r="E6" s="122"/>
      <c r="F6" s="10" t="s">
        <v>13</v>
      </c>
      <c r="G6" s="63">
        <v>120</v>
      </c>
      <c r="H6" s="63">
        <f>B6*C6*12</f>
        <v>2880</v>
      </c>
      <c r="I6" s="66">
        <f aca="true" t="shared" si="0" ref="I6:I12">ROUND(H6/$B$26,2)</f>
        <v>26.24</v>
      </c>
      <c r="J6" s="69">
        <f>ROUND(H6/$H$5%,2)</f>
        <v>90.57</v>
      </c>
    </row>
    <row r="7" spans="1:10" ht="15.75">
      <c r="A7" s="9" t="s">
        <v>14</v>
      </c>
      <c r="B7" s="63">
        <f>ROUND(B12/350,0)</f>
        <v>1</v>
      </c>
      <c r="C7" s="63">
        <v>120</v>
      </c>
      <c r="D7" s="121"/>
      <c r="E7" s="122"/>
      <c r="F7" s="10" t="s">
        <v>15</v>
      </c>
      <c r="G7" s="63">
        <v>100</v>
      </c>
      <c r="H7" s="63">
        <f>B7*G7*3</f>
        <v>300</v>
      </c>
      <c r="I7" s="66">
        <f t="shared" si="0"/>
        <v>2.73</v>
      </c>
      <c r="J7" s="69">
        <f>ROUND(H7/$H$5%,2)</f>
        <v>9.43</v>
      </c>
    </row>
    <row r="8" spans="1:10" ht="15.75">
      <c r="A8" s="62" t="s">
        <v>16</v>
      </c>
      <c r="B8" s="63">
        <f>SUM(B9:B11)</f>
        <v>55.35</v>
      </c>
      <c r="C8" s="64" t="s">
        <v>10</v>
      </c>
      <c r="D8" s="121"/>
      <c r="E8" s="122"/>
      <c r="F8" s="7" t="s">
        <v>17</v>
      </c>
      <c r="G8" s="71">
        <v>27</v>
      </c>
      <c r="H8" s="65">
        <f>H5*G8%</f>
        <v>858.6</v>
      </c>
      <c r="I8" s="66">
        <f t="shared" si="0"/>
        <v>7.82</v>
      </c>
      <c r="J8" s="8">
        <f>ROUND(H8/$H$39%,2)</f>
        <v>2.97</v>
      </c>
    </row>
    <row r="9" spans="1:10" ht="15.75">
      <c r="A9" s="9" t="s">
        <v>131</v>
      </c>
      <c r="B9" s="63">
        <f>ROUND(B13*0.06+B14*0.08+B15*0.06+B17*0.025,2)</f>
        <v>30.35</v>
      </c>
      <c r="C9" s="64" t="s">
        <v>10</v>
      </c>
      <c r="D9" s="121"/>
      <c r="E9" s="122"/>
      <c r="F9" s="11" t="s">
        <v>155</v>
      </c>
      <c r="G9" s="167">
        <f>SUM(G10:G13)</f>
        <v>830.4803846153859</v>
      </c>
      <c r="H9" s="73">
        <f>SUM(H10:H15)</f>
        <v>12612.50616153848</v>
      </c>
      <c r="I9" s="74">
        <f t="shared" si="0"/>
        <v>114.93</v>
      </c>
      <c r="J9" s="75">
        <f>ROUND(H9/$H$39%,2)</f>
        <v>43.61</v>
      </c>
    </row>
    <row r="10" spans="1:10" ht="15.75">
      <c r="A10" s="9" t="s">
        <v>132</v>
      </c>
      <c r="B10" s="63">
        <f>ROUND(G13/'[1]siens'!$F$8,1)</f>
        <v>25</v>
      </c>
      <c r="C10" s="64"/>
      <c r="D10" s="121"/>
      <c r="E10" s="122"/>
      <c r="F10" s="10" t="s">
        <v>21</v>
      </c>
      <c r="G10" s="168">
        <f>(B13*B47)+(C47*B14)+(B15*E47)+(B16*F47)+(D47*B17)</f>
        <v>618.2107692307701</v>
      </c>
      <c r="H10" s="123">
        <f>G10*G47</f>
        <v>2101.916615384618</v>
      </c>
      <c r="I10" s="66">
        <f t="shared" si="0"/>
        <v>19.15</v>
      </c>
      <c r="J10" s="69">
        <f>ROUND(H10/$H$9%,2)</f>
        <v>16.67</v>
      </c>
    </row>
    <row r="11" spans="1:10" ht="15.75">
      <c r="A11" s="9" t="s">
        <v>20</v>
      </c>
      <c r="B11" s="63">
        <f>ROUND(G14/150,1)</f>
        <v>0</v>
      </c>
      <c r="C11" s="64" t="s">
        <v>10</v>
      </c>
      <c r="D11" s="121"/>
      <c r="E11" s="122"/>
      <c r="F11" s="250" t="s">
        <v>125</v>
      </c>
      <c r="G11" s="253">
        <f>(B13*B48)+(C48*B14)+(B15*E48)+(B16*F48)+(D48*B17)</f>
        <v>49.45192307692315</v>
      </c>
      <c r="H11" s="213">
        <f>G11*H48</f>
        <v>6428.75000000001</v>
      </c>
      <c r="I11" s="220">
        <f t="shared" si="0"/>
        <v>58.58</v>
      </c>
      <c r="J11" s="223">
        <f>ROUND(H11/$H$9%,2)</f>
        <v>50.97</v>
      </c>
    </row>
    <row r="12" spans="1:10" ht="15.75">
      <c r="A12" s="76" t="s">
        <v>22</v>
      </c>
      <c r="B12" s="160">
        <f>SUM(B13:B16)</f>
        <v>485.1538461538468</v>
      </c>
      <c r="C12" s="77" t="s">
        <v>10</v>
      </c>
      <c r="D12" s="121"/>
      <c r="E12" s="122"/>
      <c r="F12" s="251"/>
      <c r="G12" s="254"/>
      <c r="H12" s="196"/>
      <c r="I12" s="221">
        <f t="shared" si="0"/>
        <v>0</v>
      </c>
      <c r="J12" s="224">
        <f>ROUND(H12/$H$9%,2)</f>
        <v>0</v>
      </c>
    </row>
    <row r="13" spans="1:10" ht="15.75">
      <c r="A13" s="9" t="s">
        <v>24</v>
      </c>
      <c r="B13" s="160">
        <v>221.1538461538468</v>
      </c>
      <c r="C13" s="64" t="s">
        <v>10</v>
      </c>
      <c r="D13" s="121"/>
      <c r="E13" s="122"/>
      <c r="F13" s="10" t="s">
        <v>29</v>
      </c>
      <c r="G13" s="168">
        <f>(B13*B49)+(C49*B14)+(B15*E49)+(B16*F49)+(D49*B17)</f>
        <v>162.8176923076926</v>
      </c>
      <c r="H13" s="123">
        <f>G13*H49</f>
        <v>4081.8395461538535</v>
      </c>
      <c r="I13" s="66">
        <f>ROUND(H13/$B$26,2)</f>
        <v>37.2</v>
      </c>
      <c r="J13" s="69">
        <f>ROUND(H13/$H$9%,2)</f>
        <v>32.36</v>
      </c>
    </row>
    <row r="14" spans="1:10" ht="15.75">
      <c r="A14" s="9" t="s">
        <v>26</v>
      </c>
      <c r="B14" s="67">
        <f>ROUND(B13/45,0)</f>
        <v>5</v>
      </c>
      <c r="C14" s="64" t="s">
        <v>10</v>
      </c>
      <c r="D14" s="121"/>
      <c r="E14" s="122"/>
      <c r="F14" s="10"/>
      <c r="G14" s="63"/>
      <c r="H14" s="123"/>
      <c r="I14" s="66"/>
      <c r="J14" s="69"/>
    </row>
    <row r="15" spans="1:10" ht="15.75">
      <c r="A15" s="9" t="s">
        <v>170</v>
      </c>
      <c r="B15" s="67">
        <f>ROUND((B17*60%)-(B17*5%),0)</f>
        <v>158</v>
      </c>
      <c r="C15" s="64" t="s">
        <v>10</v>
      </c>
      <c r="D15" s="121"/>
      <c r="E15" s="122"/>
      <c r="F15" s="10"/>
      <c r="G15" s="63"/>
      <c r="H15" s="63"/>
      <c r="I15" s="66"/>
      <c r="J15" s="69"/>
    </row>
    <row r="16" spans="1:10" ht="15.75">
      <c r="A16" s="9" t="s">
        <v>175</v>
      </c>
      <c r="B16" s="67">
        <f>ROUND((B17*40%)-(B17*5%),0)</f>
        <v>101</v>
      </c>
      <c r="C16" s="64"/>
      <c r="D16" s="121"/>
      <c r="E16" s="122"/>
      <c r="F16" s="10"/>
      <c r="G16" s="63"/>
      <c r="H16" s="63"/>
      <c r="I16" s="66"/>
      <c r="J16" s="69"/>
    </row>
    <row r="17" spans="1:11" ht="15.75">
      <c r="A17" s="9" t="s">
        <v>156</v>
      </c>
      <c r="B17" s="67">
        <f>ROUND(B13*1.3,0)</f>
        <v>288</v>
      </c>
      <c r="C17" s="64" t="s">
        <v>10</v>
      </c>
      <c r="D17" s="121"/>
      <c r="E17" s="122"/>
      <c r="F17" s="7" t="s">
        <v>126</v>
      </c>
      <c r="G17" s="63"/>
      <c r="H17" s="65">
        <v>80</v>
      </c>
      <c r="I17" s="66">
        <f aca="true" t="shared" si="1" ref="I17:I34">ROUND(H17/$B$26,2)</f>
        <v>0.73</v>
      </c>
      <c r="J17" s="8">
        <f aca="true" t="shared" si="2" ref="J17:J26">ROUND(H17/$H$39%,2)</f>
        <v>0.28</v>
      </c>
      <c r="K17" s="166"/>
    </row>
    <row r="18" spans="1:11" ht="15.75">
      <c r="A18" s="62" t="s">
        <v>36</v>
      </c>
      <c r="B18" s="78">
        <f>ROUND((B17*10%)+(B15*5%),0)</f>
        <v>37</v>
      </c>
      <c r="C18" s="79">
        <v>10</v>
      </c>
      <c r="D18" s="121"/>
      <c r="E18" s="122"/>
      <c r="F18" s="7" t="s">
        <v>39</v>
      </c>
      <c r="G18" s="63">
        <f>B78/1000</f>
        <v>0.083</v>
      </c>
      <c r="H18" s="65">
        <f>K18*G18</f>
        <v>14.940000000000001</v>
      </c>
      <c r="I18" s="66">
        <f t="shared" si="1"/>
        <v>0.14</v>
      </c>
      <c r="J18" s="8">
        <f t="shared" si="2"/>
        <v>0.05</v>
      </c>
      <c r="K18" s="166">
        <v>180</v>
      </c>
    </row>
    <row r="19" spans="1:10" ht="16.5" thickBot="1">
      <c r="A19" s="14" t="s">
        <v>38</v>
      </c>
      <c r="B19" s="161">
        <f>B14</f>
        <v>5</v>
      </c>
      <c r="C19" s="79">
        <v>203.7</v>
      </c>
      <c r="D19" s="121"/>
      <c r="E19" s="122"/>
      <c r="F19" s="7" t="s">
        <v>41</v>
      </c>
      <c r="G19" s="63">
        <v>6</v>
      </c>
      <c r="H19" s="65">
        <v>196</v>
      </c>
      <c r="I19" s="66">
        <f t="shared" si="1"/>
        <v>1.79</v>
      </c>
      <c r="J19" s="8">
        <f t="shared" si="2"/>
        <v>0.68</v>
      </c>
    </row>
    <row r="20" spans="1:10" ht="17.25" thickTop="1">
      <c r="A20" s="217" t="s">
        <v>40</v>
      </c>
      <c r="B20" s="218"/>
      <c r="C20" s="218"/>
      <c r="D20" s="218"/>
      <c r="E20" s="219"/>
      <c r="F20" s="19" t="s">
        <v>71</v>
      </c>
      <c r="G20" s="82"/>
      <c r="H20" s="83"/>
      <c r="I20" s="84">
        <f t="shared" si="1"/>
        <v>0</v>
      </c>
      <c r="J20" s="85">
        <f t="shared" si="2"/>
        <v>0</v>
      </c>
    </row>
    <row r="21" spans="1:10" ht="28.5">
      <c r="A21" s="15" t="s">
        <v>2</v>
      </c>
      <c r="B21" s="16" t="s">
        <v>3</v>
      </c>
      <c r="C21" s="16" t="s">
        <v>4</v>
      </c>
      <c r="D21" s="17" t="s">
        <v>42</v>
      </c>
      <c r="E21" s="18" t="s">
        <v>8</v>
      </c>
      <c r="F21" s="19" t="s">
        <v>44</v>
      </c>
      <c r="G21" s="173">
        <f>ROUND(B13+B15+B14,2)</f>
        <v>384.15</v>
      </c>
      <c r="H21" s="159">
        <f>G21*0.035</f>
        <v>13.44525</v>
      </c>
      <c r="I21" s="84">
        <f t="shared" si="1"/>
        <v>0.12</v>
      </c>
      <c r="J21" s="85">
        <f t="shared" si="2"/>
        <v>0.05</v>
      </c>
    </row>
    <row r="22" spans="1:10" ht="31.5">
      <c r="A22" s="62" t="s">
        <v>43</v>
      </c>
      <c r="B22" s="123">
        <f>ROUND((($B$16*0.55)+(B13*30%*0.8)-(B16*5%*0.55)),3)</f>
        <v>105.849</v>
      </c>
      <c r="C22" s="64" t="s">
        <v>10</v>
      </c>
      <c r="D22" s="64" t="s">
        <v>10</v>
      </c>
      <c r="E22" s="8" t="s">
        <v>10</v>
      </c>
      <c r="F22" s="128" t="s">
        <v>127</v>
      </c>
      <c r="G22" s="129"/>
      <c r="H22" s="83">
        <f>ROUND((1.5*B12),2)</f>
        <v>727.73</v>
      </c>
      <c r="I22" s="84">
        <f t="shared" si="1"/>
        <v>6.63</v>
      </c>
      <c r="J22" s="85">
        <f t="shared" si="2"/>
        <v>2.52</v>
      </c>
    </row>
    <row r="23" spans="1:10" ht="15.75">
      <c r="A23" s="9" t="s">
        <v>45</v>
      </c>
      <c r="B23" s="67">
        <v>46</v>
      </c>
      <c r="C23" s="64" t="s">
        <v>10</v>
      </c>
      <c r="D23" s="64" t="s">
        <v>10</v>
      </c>
      <c r="E23" s="8" t="s">
        <v>10</v>
      </c>
      <c r="F23" s="7" t="s">
        <v>48</v>
      </c>
      <c r="G23" s="63"/>
      <c r="H23" s="65">
        <f>C56*0.5%</f>
        <v>222.5</v>
      </c>
      <c r="I23" s="66">
        <f t="shared" si="1"/>
        <v>2.03</v>
      </c>
      <c r="J23" s="8">
        <f t="shared" si="2"/>
        <v>0.77</v>
      </c>
    </row>
    <row r="24" spans="1:10" ht="15.75">
      <c r="A24" s="62" t="s">
        <v>47</v>
      </c>
      <c r="B24" s="63">
        <f>ROUND(B22*B23%,3)</f>
        <v>48.691</v>
      </c>
      <c r="C24" s="68">
        <v>172.4043478260869</v>
      </c>
      <c r="D24" s="68">
        <f>B24*C24</f>
        <v>8394.540099999998</v>
      </c>
      <c r="E24" s="8">
        <f>ROUND(D24/$D$34%,2)</f>
        <v>26.24</v>
      </c>
      <c r="F24" s="7" t="s">
        <v>50</v>
      </c>
      <c r="G24" s="63"/>
      <c r="H24" s="65">
        <v>100</v>
      </c>
      <c r="I24" s="66">
        <f t="shared" si="1"/>
        <v>0.91</v>
      </c>
      <c r="J24" s="8">
        <f t="shared" si="2"/>
        <v>0.35</v>
      </c>
    </row>
    <row r="25" spans="1:10" ht="15.75">
      <c r="A25" s="20" t="s">
        <v>169</v>
      </c>
      <c r="B25" s="67">
        <f>ROUND(B15-(B15*30%),0)</f>
        <v>111</v>
      </c>
      <c r="C25" s="68">
        <v>173.8738203207876</v>
      </c>
      <c r="D25" s="68">
        <f>B25*C25</f>
        <v>19299.99405560742</v>
      </c>
      <c r="E25" s="8">
        <f>ROUND(D25/$D$34%,2)</f>
        <v>60.34</v>
      </c>
      <c r="F25" s="7" t="s">
        <v>52</v>
      </c>
      <c r="G25" s="63"/>
      <c r="H25" s="65">
        <v>50</v>
      </c>
      <c r="I25" s="66">
        <f t="shared" si="1"/>
        <v>0.46</v>
      </c>
      <c r="J25" s="8">
        <f t="shared" si="2"/>
        <v>0.17</v>
      </c>
    </row>
    <row r="26" spans="1:10" ht="15.75">
      <c r="A26" s="21" t="s">
        <v>51</v>
      </c>
      <c r="B26" s="86">
        <f>ROUND(B24+(B25*0.55),3)</f>
        <v>109.741</v>
      </c>
      <c r="C26" s="87" t="s">
        <v>10</v>
      </c>
      <c r="D26" s="147">
        <f>SUM(D24:D25)</f>
        <v>27694.53415560742</v>
      </c>
      <c r="E26" s="8">
        <f>ROUND(D26/$D$34%,2)</f>
        <v>86.58</v>
      </c>
      <c r="F26" s="61" t="s">
        <v>130</v>
      </c>
      <c r="G26" s="63"/>
      <c r="H26" s="65">
        <f>ROUND((225*B14/3)+(B13*150/5),2)</f>
        <v>7009.62</v>
      </c>
      <c r="I26" s="66">
        <f t="shared" si="1"/>
        <v>63.87</v>
      </c>
      <c r="J26" s="8">
        <f t="shared" si="2"/>
        <v>24.24</v>
      </c>
    </row>
    <row r="27" spans="1:10" ht="15.75">
      <c r="A27" s="20" t="s">
        <v>53</v>
      </c>
      <c r="B27" s="123">
        <f>(2.5*(B13+B14)+1.5*B15+1*B16)/100</f>
        <v>9.03384615384617</v>
      </c>
      <c r="C27" s="64">
        <v>68.44</v>
      </c>
      <c r="D27" s="68">
        <f>B27*C27</f>
        <v>618.2764307692319</v>
      </c>
      <c r="E27" s="8">
        <f>ROUND(D27/$D$34%,2)</f>
        <v>1.93</v>
      </c>
      <c r="F27" s="7" t="s">
        <v>55</v>
      </c>
      <c r="G27" s="63"/>
      <c r="H27" s="65">
        <f>E65</f>
        <v>2130</v>
      </c>
      <c r="I27" s="66">
        <f t="shared" si="1"/>
        <v>19.41</v>
      </c>
      <c r="J27" s="8">
        <f>ROUND(H27/$H$39%,2)</f>
        <v>7.36</v>
      </c>
    </row>
    <row r="28" spans="1:10" ht="15.75">
      <c r="A28" s="20" t="s">
        <v>54</v>
      </c>
      <c r="B28" s="63"/>
      <c r="C28" s="64"/>
      <c r="D28" s="64"/>
      <c r="E28" s="8"/>
      <c r="F28" s="7" t="s">
        <v>57</v>
      </c>
      <c r="G28" s="63">
        <f>B19*C19</f>
        <v>1018.5</v>
      </c>
      <c r="H28" s="65"/>
      <c r="I28" s="90">
        <f t="shared" si="1"/>
        <v>0</v>
      </c>
      <c r="J28" s="8">
        <f>ROUND(H28/$H$39%,2)</f>
        <v>0</v>
      </c>
    </row>
    <row r="29" spans="1:10" ht="15.75">
      <c r="A29" s="9" t="s">
        <v>56</v>
      </c>
      <c r="B29" s="63"/>
      <c r="C29" s="64"/>
      <c r="D29" s="64"/>
      <c r="E29" s="8"/>
      <c r="F29" s="22" t="s">
        <v>59</v>
      </c>
      <c r="G29" s="63">
        <v>15</v>
      </c>
      <c r="H29" s="127">
        <f>ROUND(((G28/4)*G29%),2)</f>
        <v>38.19</v>
      </c>
      <c r="I29" s="66">
        <f t="shared" si="1"/>
        <v>0.35</v>
      </c>
      <c r="J29" s="8">
        <f>ROUND(H29/$H$39%,2)</f>
        <v>0.13</v>
      </c>
    </row>
    <row r="30" spans="1:10" ht="15.75">
      <c r="A30" s="9" t="s">
        <v>129</v>
      </c>
      <c r="B30" s="63">
        <f>ROUND($B$16+($B$13*30%),0)</f>
        <v>167</v>
      </c>
      <c r="C30" s="64">
        <v>5</v>
      </c>
      <c r="D30" s="64">
        <f>B30*C30</f>
        <v>835</v>
      </c>
      <c r="E30" s="8">
        <f>ROUND(D30/$D$34%,2)</f>
        <v>2.61</v>
      </c>
      <c r="F30" s="7" t="s">
        <v>61</v>
      </c>
      <c r="G30" s="63">
        <f>B18</f>
        <v>37</v>
      </c>
      <c r="H30" s="65">
        <f>G30*C18</f>
        <v>370</v>
      </c>
      <c r="I30" s="66">
        <f t="shared" si="1"/>
        <v>3.37</v>
      </c>
      <c r="J30" s="8">
        <f>ROUND(H30/$H$39%,2)</f>
        <v>1.28</v>
      </c>
    </row>
    <row r="31" spans="1:10" ht="15.75">
      <c r="A31" s="20" t="s">
        <v>60</v>
      </c>
      <c r="B31" s="63">
        <f>ROUND((B12*0.85)*50%,1)</f>
        <v>206.2</v>
      </c>
      <c r="C31" s="64">
        <v>3</v>
      </c>
      <c r="D31" s="87">
        <f>B31*C31</f>
        <v>618.5999999999999</v>
      </c>
      <c r="E31" s="8">
        <f>ROUND(D31/$D$34%,2)</f>
        <v>1.93</v>
      </c>
      <c r="F31" s="24" t="s">
        <v>63</v>
      </c>
      <c r="G31" s="63"/>
      <c r="H31" s="65"/>
      <c r="I31" s="66">
        <f t="shared" si="1"/>
        <v>0</v>
      </c>
      <c r="J31" s="88"/>
    </row>
    <row r="32" spans="1:10" ht="15.75">
      <c r="A32" s="23" t="s">
        <v>62</v>
      </c>
      <c r="B32" s="86" t="s">
        <v>10</v>
      </c>
      <c r="C32" s="87" t="s">
        <v>10</v>
      </c>
      <c r="D32" s="147">
        <f>SUM(D26:D31)</f>
        <v>29766.41058637665</v>
      </c>
      <c r="E32" s="8" t="s">
        <v>10</v>
      </c>
      <c r="F32" s="25">
        <v>0.25</v>
      </c>
      <c r="G32" s="63"/>
      <c r="H32" s="65">
        <f>F32*$B$15</f>
        <v>39.5</v>
      </c>
      <c r="I32" s="66">
        <f t="shared" si="1"/>
        <v>0.36</v>
      </c>
      <c r="J32" s="8">
        <f>ROUND(H32/$H$39%,2)</f>
        <v>0.14</v>
      </c>
    </row>
    <row r="33" spans="1:10" ht="15.75">
      <c r="A33" s="20" t="s">
        <v>64</v>
      </c>
      <c r="B33" s="65">
        <v>20</v>
      </c>
      <c r="C33" s="87" t="s">
        <v>10</v>
      </c>
      <c r="D33" s="65">
        <f>B25*B33</f>
        <v>2220</v>
      </c>
      <c r="E33" s="8">
        <f>ROUND(D33/$D$34%,2)</f>
        <v>6.94</v>
      </c>
      <c r="F33" s="25">
        <v>1</v>
      </c>
      <c r="G33" s="63"/>
      <c r="H33" s="65">
        <f>F33*$B$15</f>
        <v>158</v>
      </c>
      <c r="I33" s="66">
        <f t="shared" si="1"/>
        <v>1.44</v>
      </c>
      <c r="J33" s="8">
        <f>ROUND(H33/$H$39%,2)</f>
        <v>0.55</v>
      </c>
    </row>
    <row r="34" spans="1:10" ht="15.75">
      <c r="A34" s="26" t="s">
        <v>65</v>
      </c>
      <c r="B34" s="86" t="s">
        <v>10</v>
      </c>
      <c r="C34" s="87" t="s">
        <v>10</v>
      </c>
      <c r="D34" s="147">
        <f>SUM(D32:D33)</f>
        <v>31986.41058637665</v>
      </c>
      <c r="E34" s="91">
        <f>ROUND(D34/$D$34%,2)</f>
        <v>100</v>
      </c>
      <c r="F34" s="7" t="s">
        <v>66</v>
      </c>
      <c r="G34" s="63"/>
      <c r="H34" s="65">
        <v>1200</v>
      </c>
      <c r="I34" s="66">
        <f t="shared" si="1"/>
        <v>10.93</v>
      </c>
      <c r="J34" s="8">
        <f>ROUND(H34/$H$39%,2)</f>
        <v>4.15</v>
      </c>
    </row>
    <row r="35" spans="1:10" ht="15.75">
      <c r="A35" s="116"/>
      <c r="B35" s="117"/>
      <c r="C35" s="117"/>
      <c r="D35" s="117"/>
      <c r="E35" s="118"/>
      <c r="F35" s="7"/>
      <c r="G35" s="63"/>
      <c r="H35" s="65"/>
      <c r="I35" s="66"/>
      <c r="J35" s="8"/>
    </row>
    <row r="36" spans="1:10" ht="15.75">
      <c r="A36" s="29" t="s">
        <v>68</v>
      </c>
      <c r="B36" s="94" t="s">
        <v>10</v>
      </c>
      <c r="C36" s="95" t="s">
        <v>10</v>
      </c>
      <c r="D36" s="151">
        <f>ROUND(D34-H39,2)</f>
        <v>3065.38</v>
      </c>
      <c r="E36" s="30"/>
      <c r="F36" s="31"/>
      <c r="G36" s="80"/>
      <c r="H36" s="80"/>
      <c r="I36" s="96">
        <f>ROUND(H36/$B$26,2)</f>
        <v>0</v>
      </c>
      <c r="J36" s="8">
        <f>ROUND(H36/$H$39%,2)</f>
        <v>0</v>
      </c>
    </row>
    <row r="37" spans="1:10" ht="15.75">
      <c r="A37" s="29" t="s">
        <v>148</v>
      </c>
      <c r="B37" s="94" t="s">
        <v>10</v>
      </c>
      <c r="C37" s="95" t="s">
        <v>10</v>
      </c>
      <c r="D37" s="152">
        <f>ROUND(D24-((H39/(B15+B16))*B16),2)</f>
        <v>-2883.55</v>
      </c>
      <c r="E37" s="32"/>
      <c r="F37" s="31"/>
      <c r="G37" s="80"/>
      <c r="H37" s="80"/>
      <c r="I37" s="96"/>
      <c r="J37" s="97"/>
    </row>
    <row r="38" spans="1:10" ht="15.75">
      <c r="A38" s="33" t="s">
        <v>69</v>
      </c>
      <c r="B38" s="98" t="s">
        <v>10</v>
      </c>
      <c r="C38" s="98" t="s">
        <v>10</v>
      </c>
      <c r="D38" s="93">
        <f>ROUND(D36/$H$39%,2)</f>
        <v>10.6</v>
      </c>
      <c r="E38" s="34"/>
      <c r="F38" s="31"/>
      <c r="G38" s="80"/>
      <c r="H38" s="80"/>
      <c r="I38" s="96">
        <f>ROUND(H38/$B$26,2)</f>
        <v>0</v>
      </c>
      <c r="J38" s="99"/>
    </row>
    <row r="39" spans="1:10" ht="16.5" thickBot="1">
      <c r="A39" s="35" t="s">
        <v>149</v>
      </c>
      <c r="B39" s="100" t="s">
        <v>10</v>
      </c>
      <c r="C39" s="100" t="s">
        <v>10</v>
      </c>
      <c r="D39" s="101">
        <f>ROUND(D37/$H$39%,2)</f>
        <v>-9.97</v>
      </c>
      <c r="E39" s="36"/>
      <c r="F39" s="37" t="s">
        <v>70</v>
      </c>
      <c r="G39" s="102"/>
      <c r="H39" s="103">
        <f>SUM(H5,H8,H9,H18:H36)</f>
        <v>28921.031411538475</v>
      </c>
      <c r="I39" s="104">
        <f>ROUND(H39/$B$26,2)</f>
        <v>263.54</v>
      </c>
      <c r="J39" s="105">
        <f>SUM(J5,J8,J9,J18:J36)</f>
        <v>100.02</v>
      </c>
    </row>
    <row r="40" spans="1:2" ht="16.5" thickTop="1">
      <c r="A40" s="61" t="s">
        <v>171</v>
      </c>
      <c r="B40" s="171">
        <f>ROUND((H39*E25%)/B15,2)</f>
        <v>110.45</v>
      </c>
    </row>
    <row r="41" spans="1:2" ht="15.75">
      <c r="A41" s="61" t="s">
        <v>190</v>
      </c>
      <c r="B41" s="61">
        <f>ROUND(B40+(B40*40%),2)</f>
        <v>154.63</v>
      </c>
    </row>
    <row r="43" spans="1:5" ht="16.5" thickBot="1">
      <c r="A43" s="255" t="s">
        <v>242</v>
      </c>
      <c r="B43" s="255"/>
      <c r="C43" s="255"/>
      <c r="D43" s="255"/>
      <c r="E43" s="255"/>
    </row>
    <row r="44" spans="1:13" ht="16.5" customHeight="1" thickTop="1">
      <c r="A44" s="226"/>
      <c r="B44" s="228" t="s">
        <v>153</v>
      </c>
      <c r="C44" s="258"/>
      <c r="D44" s="258"/>
      <c r="E44" s="258"/>
      <c r="F44" s="259"/>
      <c r="G44" s="231" t="s">
        <v>243</v>
      </c>
      <c r="H44" s="231" t="s">
        <v>244</v>
      </c>
      <c r="I44" s="228" t="s">
        <v>154</v>
      </c>
      <c r="J44" s="258"/>
      <c r="K44" s="258"/>
      <c r="L44" s="258"/>
      <c r="M44" s="233"/>
    </row>
    <row r="45" spans="1:13" ht="48" thickBot="1">
      <c r="A45" s="227"/>
      <c r="B45" s="38" t="s">
        <v>79</v>
      </c>
      <c r="C45" s="38" t="s">
        <v>80</v>
      </c>
      <c r="D45" s="38" t="s">
        <v>81</v>
      </c>
      <c r="E45" s="38" t="s">
        <v>174</v>
      </c>
      <c r="F45" s="38" t="s">
        <v>173</v>
      </c>
      <c r="G45" s="232"/>
      <c r="H45" s="232"/>
      <c r="I45" s="38" t="s">
        <v>79</v>
      </c>
      <c r="J45" s="38" t="s">
        <v>80</v>
      </c>
      <c r="K45" s="38" t="s">
        <v>81</v>
      </c>
      <c r="L45" s="169" t="s">
        <v>178</v>
      </c>
      <c r="M45" s="136" t="s">
        <v>128</v>
      </c>
    </row>
    <row r="46" spans="1:13" ht="15.75">
      <c r="A46" s="41" t="s">
        <v>84</v>
      </c>
      <c r="B46" s="245" t="s">
        <v>106</v>
      </c>
      <c r="C46" s="246"/>
      <c r="D46" s="124" t="s">
        <v>105</v>
      </c>
      <c r="E46" s="124" t="s">
        <v>177</v>
      </c>
      <c r="F46" s="124" t="s">
        <v>124</v>
      </c>
      <c r="G46" s="42" t="s">
        <v>10</v>
      </c>
      <c r="H46" s="42" t="s">
        <v>10</v>
      </c>
      <c r="I46" s="245" t="s">
        <v>172</v>
      </c>
      <c r="J46" s="246"/>
      <c r="K46" s="124" t="s">
        <v>105</v>
      </c>
      <c r="L46" s="170" t="s">
        <v>177</v>
      </c>
      <c r="M46" s="137" t="s">
        <v>124</v>
      </c>
    </row>
    <row r="47" spans="1:13" ht="15.75">
      <c r="A47" s="44" t="s">
        <v>86</v>
      </c>
      <c r="B47" s="45">
        <v>1.5</v>
      </c>
      <c r="C47" s="125">
        <v>1.5</v>
      </c>
      <c r="D47" s="125">
        <v>0.01</v>
      </c>
      <c r="E47" s="125">
        <v>1.3</v>
      </c>
      <c r="F47" s="125">
        <v>0.7</v>
      </c>
      <c r="G47" s="155">
        <v>3.4</v>
      </c>
      <c r="H47" s="46" t="s">
        <v>108</v>
      </c>
      <c r="I47" s="156">
        <f>B47*$G47</f>
        <v>5.1</v>
      </c>
      <c r="J47" s="157">
        <f>C47*$G47</f>
        <v>5.1</v>
      </c>
      <c r="K47" s="157">
        <f>D47*$G47</f>
        <v>0.034</v>
      </c>
      <c r="L47" s="157">
        <f>E47*$G47</f>
        <v>4.42</v>
      </c>
      <c r="M47" s="158">
        <f>F47*$G47</f>
        <v>2.38</v>
      </c>
    </row>
    <row r="48" spans="1:13" ht="15.75">
      <c r="A48" s="113" t="s">
        <v>104</v>
      </c>
      <c r="B48" s="114">
        <v>0.11</v>
      </c>
      <c r="C48" s="126">
        <v>0.12</v>
      </c>
      <c r="D48" s="126">
        <v>0.02</v>
      </c>
      <c r="E48" s="126">
        <v>0.09</v>
      </c>
      <c r="F48" s="126">
        <v>0.045</v>
      </c>
      <c r="G48" s="83" t="s">
        <v>108</v>
      </c>
      <c r="H48" s="83">
        <v>130</v>
      </c>
      <c r="I48" s="138">
        <f>B48*$H48</f>
        <v>14.3</v>
      </c>
      <c r="J48" s="45">
        <f>C48*$H48</f>
        <v>15.6</v>
      </c>
      <c r="K48" s="45">
        <f>D48*$H48</f>
        <v>2.6</v>
      </c>
      <c r="L48" s="45">
        <f>E48*$H48</f>
        <v>11.7</v>
      </c>
      <c r="M48" s="139">
        <f>F48*$H48</f>
        <v>5.85</v>
      </c>
    </row>
    <row r="49" spans="1:13" ht="15.75">
      <c r="A49" s="44" t="s">
        <v>29</v>
      </c>
      <c r="B49" s="45">
        <v>0.44</v>
      </c>
      <c r="C49" s="125">
        <v>0.45</v>
      </c>
      <c r="D49" s="125">
        <v>0.02</v>
      </c>
      <c r="E49" s="125">
        <v>0.3</v>
      </c>
      <c r="F49" s="125">
        <v>0.1</v>
      </c>
      <c r="G49" s="46">
        <v>22.63</v>
      </c>
      <c r="H49" s="155">
        <v>25.07</v>
      </c>
      <c r="I49" s="156">
        <f aca="true" t="shared" si="3" ref="I49:M51">B49*$G49</f>
        <v>9.9572</v>
      </c>
      <c r="J49" s="157">
        <f t="shared" si="3"/>
        <v>10.1835</v>
      </c>
      <c r="K49" s="157">
        <f t="shared" si="3"/>
        <v>0.4526</v>
      </c>
      <c r="L49" s="157">
        <f t="shared" si="3"/>
        <v>6.789</v>
      </c>
      <c r="M49" s="158">
        <f t="shared" si="3"/>
        <v>2.263</v>
      </c>
    </row>
    <row r="50" spans="1:13" ht="15.75">
      <c r="A50" s="44"/>
      <c r="B50" s="45"/>
      <c r="C50" s="125"/>
      <c r="D50" s="125"/>
      <c r="E50" s="125"/>
      <c r="F50" s="125"/>
      <c r="G50" s="42"/>
      <c r="H50" s="46"/>
      <c r="I50" s="138">
        <f t="shared" si="3"/>
        <v>0</v>
      </c>
      <c r="J50" s="45">
        <f t="shared" si="3"/>
        <v>0</v>
      </c>
      <c r="K50" s="45">
        <f t="shared" si="3"/>
        <v>0</v>
      </c>
      <c r="L50" s="157">
        <f t="shared" si="3"/>
        <v>0</v>
      </c>
      <c r="M50" s="139">
        <f t="shared" si="3"/>
        <v>0</v>
      </c>
    </row>
    <row r="51" spans="1:13" ht="16.5" thickBot="1">
      <c r="A51" s="131" t="s">
        <v>94</v>
      </c>
      <c r="B51" s="154">
        <v>1</v>
      </c>
      <c r="C51" s="133">
        <v>1</v>
      </c>
      <c r="D51" s="133"/>
      <c r="E51" s="133">
        <v>1</v>
      </c>
      <c r="F51" s="133">
        <v>1</v>
      </c>
      <c r="G51" s="134"/>
      <c r="H51" s="59"/>
      <c r="I51" s="132">
        <f t="shared" si="3"/>
        <v>0</v>
      </c>
      <c r="J51" s="132">
        <f t="shared" si="3"/>
        <v>0</v>
      </c>
      <c r="K51" s="132">
        <f t="shared" si="3"/>
        <v>0</v>
      </c>
      <c r="L51" s="132">
        <f t="shared" si="3"/>
        <v>0</v>
      </c>
      <c r="M51" s="135">
        <f t="shared" si="3"/>
        <v>0</v>
      </c>
    </row>
    <row r="52" spans="1:10" ht="16.5" thickTop="1">
      <c r="A52" s="247" t="s">
        <v>55</v>
      </c>
      <c r="B52" s="248"/>
      <c r="C52" s="248"/>
      <c r="D52" s="248"/>
      <c r="E52" s="249"/>
      <c r="F52"/>
      <c r="G52"/>
      <c r="H52"/>
      <c r="I52"/>
      <c r="J52"/>
    </row>
    <row r="53" spans="1:10" ht="47.25">
      <c r="A53" s="140" t="s">
        <v>142</v>
      </c>
      <c r="B53" s="141" t="s">
        <v>143</v>
      </c>
      <c r="C53" s="141" t="s">
        <v>144</v>
      </c>
      <c r="D53" s="141" t="s">
        <v>145</v>
      </c>
      <c r="E53" s="142" t="s">
        <v>146</v>
      </c>
      <c r="F53"/>
      <c r="G53"/>
      <c r="H53"/>
      <c r="I53"/>
      <c r="J53"/>
    </row>
    <row r="54" spans="1:7" ht="15.75">
      <c r="A54" s="62" t="s">
        <v>133</v>
      </c>
      <c r="B54" s="63">
        <v>500</v>
      </c>
      <c r="C54" s="63">
        <v>40000</v>
      </c>
      <c r="D54" s="63">
        <v>4</v>
      </c>
      <c r="E54" s="143">
        <f>ROUND(C54*D54%,2)</f>
        <v>1600</v>
      </c>
      <c r="F54"/>
      <c r="G54"/>
    </row>
    <row r="55" spans="1:7" ht="15.75">
      <c r="A55" s="62" t="s">
        <v>134</v>
      </c>
      <c r="B55" s="144"/>
      <c r="C55" s="144">
        <v>4500</v>
      </c>
      <c r="D55" s="144">
        <v>4</v>
      </c>
      <c r="E55" s="143">
        <f aca="true" t="shared" si="4" ref="E55:E64">ROUND(C55*D55%,2)</f>
        <v>180</v>
      </c>
      <c r="F55"/>
      <c r="G55"/>
    </row>
    <row r="56" spans="1:5" ht="15.75">
      <c r="A56" s="21" t="s">
        <v>150</v>
      </c>
      <c r="B56" s="153"/>
      <c r="C56" s="153">
        <f>SUM(C54:C55)</f>
        <v>44500</v>
      </c>
      <c r="D56" s="153"/>
      <c r="E56" s="91"/>
    </row>
    <row r="57" spans="1:5" ht="15.75">
      <c r="A57" s="62" t="s">
        <v>135</v>
      </c>
      <c r="B57" s="63"/>
      <c r="C57" s="63"/>
      <c r="D57" s="63"/>
      <c r="E57" s="143"/>
    </row>
    <row r="58" spans="1:5" ht="15.75">
      <c r="A58" s="9" t="s">
        <v>136</v>
      </c>
      <c r="B58" s="63"/>
      <c r="C58" s="63">
        <v>8000</v>
      </c>
      <c r="D58" s="63">
        <v>14</v>
      </c>
      <c r="E58" s="143">
        <f t="shared" si="4"/>
        <v>1120</v>
      </c>
    </row>
    <row r="59" spans="1:5" ht="15.75">
      <c r="A59" s="9" t="s">
        <v>157</v>
      </c>
      <c r="B59" s="63">
        <v>3200</v>
      </c>
      <c r="C59" s="63">
        <v>1700</v>
      </c>
      <c r="D59" s="63">
        <v>14</v>
      </c>
      <c r="E59" s="143">
        <f t="shared" si="4"/>
        <v>238</v>
      </c>
    </row>
    <row r="60" spans="1:5" ht="15.75">
      <c r="A60" s="9" t="s">
        <v>137</v>
      </c>
      <c r="B60" s="63"/>
      <c r="C60" s="63">
        <v>2000</v>
      </c>
      <c r="D60" s="63">
        <v>14</v>
      </c>
      <c r="E60" s="143">
        <f t="shared" si="4"/>
        <v>280</v>
      </c>
    </row>
    <row r="61" spans="1:5" ht="15.75">
      <c r="A61" s="9" t="s">
        <v>138</v>
      </c>
      <c r="B61" s="63"/>
      <c r="C61" s="63">
        <v>1500</v>
      </c>
      <c r="D61" s="63">
        <v>14</v>
      </c>
      <c r="E61" s="143">
        <f t="shared" si="4"/>
        <v>210</v>
      </c>
    </row>
    <row r="62" spans="1:5" ht="15.75">
      <c r="A62" s="9" t="s">
        <v>139</v>
      </c>
      <c r="B62" s="63"/>
      <c r="C62" s="63">
        <v>1500</v>
      </c>
      <c r="D62" s="63">
        <v>14</v>
      </c>
      <c r="E62" s="143">
        <f t="shared" si="4"/>
        <v>210</v>
      </c>
    </row>
    <row r="63" spans="1:5" ht="15.75">
      <c r="A63" s="9" t="s">
        <v>140</v>
      </c>
      <c r="B63" s="63"/>
      <c r="C63" s="63">
        <v>700</v>
      </c>
      <c r="D63" s="63">
        <v>14</v>
      </c>
      <c r="E63" s="143">
        <f t="shared" si="4"/>
        <v>98</v>
      </c>
    </row>
    <row r="64" spans="1:5" ht="15.75">
      <c r="A64" s="9" t="s">
        <v>141</v>
      </c>
      <c r="B64" s="63"/>
      <c r="C64" s="63">
        <v>1100</v>
      </c>
      <c r="D64" s="63">
        <v>14</v>
      </c>
      <c r="E64" s="143">
        <f t="shared" si="4"/>
        <v>154</v>
      </c>
    </row>
    <row r="65" spans="1:5" ht="15.75">
      <c r="A65" s="148" t="s">
        <v>147</v>
      </c>
      <c r="B65" s="149"/>
      <c r="C65" s="149"/>
      <c r="D65" s="149"/>
      <c r="E65" s="150">
        <f>E54+E55+E59+(E58*10%)</f>
        <v>2130</v>
      </c>
    </row>
    <row r="66" spans="1:5" ht="16.5" thickBot="1">
      <c r="A66" s="145" t="s">
        <v>51</v>
      </c>
      <c r="B66" s="146" t="s">
        <v>10</v>
      </c>
      <c r="C66" s="146">
        <f>SUM(C54:C64)</f>
        <v>105500</v>
      </c>
      <c r="D66" s="146" t="s">
        <v>10</v>
      </c>
      <c r="E66" s="105">
        <f>SUM(E54:E64)</f>
        <v>4090</v>
      </c>
    </row>
    <row r="67" ht="16.5" thickTop="1"/>
    <row r="68" spans="1:3" ht="15.75">
      <c r="A68" s="165" t="s">
        <v>168</v>
      </c>
      <c r="B68" s="162"/>
      <c r="C68" s="162"/>
    </row>
    <row r="69" spans="1:3" ht="15.75">
      <c r="A69" t="s">
        <v>158</v>
      </c>
      <c r="B69" s="162">
        <v>7</v>
      </c>
      <c r="C69" s="162">
        <f>ROUND(B69*B13,0)</f>
        <v>1548</v>
      </c>
    </row>
    <row r="70" spans="1:3" ht="15.75">
      <c r="A70" t="s">
        <v>159</v>
      </c>
      <c r="B70" s="162">
        <v>7</v>
      </c>
      <c r="C70" s="162">
        <f>ROUND(B70*B14,0)</f>
        <v>35</v>
      </c>
    </row>
    <row r="71" spans="1:3" ht="15.75">
      <c r="A71" t="s">
        <v>160</v>
      </c>
      <c r="B71" s="162">
        <v>3</v>
      </c>
      <c r="C71" s="162">
        <f>ROUND(B71*B15,0)</f>
        <v>474</v>
      </c>
    </row>
    <row r="72" spans="1:3" ht="15.75">
      <c r="A72" t="s">
        <v>163</v>
      </c>
      <c r="B72" s="162"/>
      <c r="C72" s="162">
        <f>SUM(C69:C71)</f>
        <v>2057</v>
      </c>
    </row>
    <row r="73" spans="1:3" ht="15.75">
      <c r="A73" t="s">
        <v>162</v>
      </c>
      <c r="B73" s="163">
        <f>ROUND(B9/10,1)</f>
        <v>3</v>
      </c>
      <c r="C73" s="162"/>
    </row>
    <row r="74" spans="1:3" ht="15.75">
      <c r="A74" t="s">
        <v>161</v>
      </c>
      <c r="B74" s="162">
        <v>150</v>
      </c>
      <c r="C74" s="162"/>
    </row>
    <row r="75" spans="1:3" ht="15.75">
      <c r="A75" t="s">
        <v>164</v>
      </c>
      <c r="B75" s="162">
        <v>0.25</v>
      </c>
      <c r="C75" s="162"/>
    </row>
    <row r="76" spans="1:3" ht="15.75">
      <c r="A76" t="s">
        <v>165</v>
      </c>
      <c r="B76" s="164">
        <f>ROUND(C72/B59*B74,0)</f>
        <v>96</v>
      </c>
      <c r="C76" s="162"/>
    </row>
    <row r="77" spans="1:3" ht="15.75">
      <c r="A77" t="s">
        <v>166</v>
      </c>
      <c r="B77" s="162">
        <f>ROUND(B75*B73*B76,2)</f>
        <v>72</v>
      </c>
      <c r="C77" s="162"/>
    </row>
    <row r="78" spans="1:3" ht="15.75">
      <c r="A78" t="s">
        <v>167</v>
      </c>
      <c r="B78" s="162">
        <f>ROUND(B77+(B77*15%),0)</f>
        <v>83</v>
      </c>
      <c r="C78" s="162"/>
    </row>
    <row r="82" spans="1:10" ht="15.75">
      <c r="A82" s="222" t="s">
        <v>189</v>
      </c>
      <c r="B82" s="222"/>
      <c r="C82" s="222"/>
      <c r="D82" s="222"/>
      <c r="E82" s="222"/>
      <c r="F82" s="222"/>
      <c r="G82" s="222"/>
      <c r="H82" s="222"/>
      <c r="I82" s="222"/>
      <c r="J82" s="222"/>
    </row>
    <row r="83" ht="16.5" thickBot="1"/>
    <row r="84" spans="1:10" ht="17.25" thickTop="1">
      <c r="A84" s="217" t="s">
        <v>0</v>
      </c>
      <c r="B84" s="218"/>
      <c r="C84" s="218"/>
      <c r="D84" s="218"/>
      <c r="E84" s="219"/>
      <c r="F84" s="218" t="s">
        <v>1</v>
      </c>
      <c r="G84" s="205"/>
      <c r="H84" s="205"/>
      <c r="I84" s="205"/>
      <c r="J84" s="206"/>
    </row>
    <row r="85" spans="1:10" ht="31.5">
      <c r="A85" s="1" t="s">
        <v>2</v>
      </c>
      <c r="B85" s="2" t="s">
        <v>3</v>
      </c>
      <c r="C85" s="3" t="s">
        <v>4</v>
      </c>
      <c r="D85" s="207"/>
      <c r="E85" s="208"/>
      <c r="F85" s="4" t="s">
        <v>5</v>
      </c>
      <c r="G85" s="2" t="s">
        <v>3</v>
      </c>
      <c r="H85" s="2" t="s">
        <v>6</v>
      </c>
      <c r="I85" s="5" t="s">
        <v>7</v>
      </c>
      <c r="J85" s="6" t="s">
        <v>8</v>
      </c>
    </row>
    <row r="86" spans="1:10" ht="15.75">
      <c r="A86" s="62" t="s">
        <v>9</v>
      </c>
      <c r="B86" s="63"/>
      <c r="C86" s="64" t="s">
        <v>10</v>
      </c>
      <c r="D86" s="119"/>
      <c r="E86" s="120"/>
      <c r="F86" s="7" t="s">
        <v>11</v>
      </c>
      <c r="H86" s="65">
        <f>SUM(H87:H88)</f>
        <v>3180</v>
      </c>
      <c r="I86" s="66">
        <f>ROUND(H86/$B$26,2)</f>
        <v>28.98</v>
      </c>
      <c r="J86" s="8">
        <f>ROUND(H86/$H$39%,2)</f>
        <v>11</v>
      </c>
    </row>
    <row r="87" spans="1:10" ht="15.75">
      <c r="A87" s="9" t="s">
        <v>12</v>
      </c>
      <c r="B87" s="67">
        <f>ROUND(B93/250,0)</f>
        <v>2</v>
      </c>
      <c r="C87" s="63">
        <v>120</v>
      </c>
      <c r="D87" s="121"/>
      <c r="E87" s="122"/>
      <c r="F87" s="10" t="s">
        <v>13</v>
      </c>
      <c r="G87" s="63">
        <v>120</v>
      </c>
      <c r="H87" s="63">
        <f>B87*C87*12</f>
        <v>2880</v>
      </c>
      <c r="I87" s="66">
        <f aca="true" t="shared" si="5" ref="I87:I93">ROUND(H87/$B$26,2)</f>
        <v>26.24</v>
      </c>
      <c r="J87" s="69">
        <f>ROUND(H87/$H$5%,2)</f>
        <v>90.57</v>
      </c>
    </row>
    <row r="88" spans="1:10" ht="15.75">
      <c r="A88" s="9" t="s">
        <v>14</v>
      </c>
      <c r="B88" s="63">
        <f>ROUND(B93/350,0)</f>
        <v>1</v>
      </c>
      <c r="C88" s="63">
        <v>120</v>
      </c>
      <c r="D88" s="121"/>
      <c r="E88" s="122"/>
      <c r="F88" s="10" t="s">
        <v>15</v>
      </c>
      <c r="G88" s="63">
        <v>100</v>
      </c>
      <c r="H88" s="63">
        <f>B88*G88*3</f>
        <v>300</v>
      </c>
      <c r="I88" s="66">
        <f t="shared" si="5"/>
        <v>2.73</v>
      </c>
      <c r="J88" s="69">
        <f>ROUND(H88/$H$5%,2)</f>
        <v>9.43</v>
      </c>
    </row>
    <row r="89" spans="1:10" ht="15.75">
      <c r="A89" s="62" t="s">
        <v>16</v>
      </c>
      <c r="B89" s="63">
        <f>SUM(B90:B92)</f>
        <v>55.35</v>
      </c>
      <c r="C89" s="64" t="s">
        <v>10</v>
      </c>
      <c r="D89" s="121"/>
      <c r="E89" s="122"/>
      <c r="F89" s="7" t="s">
        <v>17</v>
      </c>
      <c r="G89" s="71">
        <v>27</v>
      </c>
      <c r="H89" s="65">
        <f>H86*G89%</f>
        <v>858.6</v>
      </c>
      <c r="I89" s="66">
        <f t="shared" si="5"/>
        <v>7.82</v>
      </c>
      <c r="J89" s="8">
        <f>ROUND(H89/$H$39%,2)</f>
        <v>2.97</v>
      </c>
    </row>
    <row r="90" spans="1:10" ht="15.75">
      <c r="A90" s="9" t="s">
        <v>131</v>
      </c>
      <c r="B90" s="63">
        <f>ROUND(B94*0.06+B95*0.08+B96*0.06+B98*0.025,2)</f>
        <v>30.35</v>
      </c>
      <c r="C90" s="64" t="s">
        <v>10</v>
      </c>
      <c r="D90" s="121"/>
      <c r="E90" s="122"/>
      <c r="F90" s="11" t="s">
        <v>155</v>
      </c>
      <c r="G90" s="167">
        <f>SUM(G91:G94)</f>
        <v>830.4803846153859</v>
      </c>
      <c r="H90" s="73">
        <f>SUM(H91:H96)</f>
        <v>12612.50616153848</v>
      </c>
      <c r="I90" s="74">
        <f t="shared" si="5"/>
        <v>114.93</v>
      </c>
      <c r="J90" s="75">
        <f>ROUND(H90/$H$39%,2)</f>
        <v>43.61</v>
      </c>
    </row>
    <row r="91" spans="1:10" ht="15.75">
      <c r="A91" s="9" t="s">
        <v>132</v>
      </c>
      <c r="B91" s="63">
        <f>ROUND(G94/'[1]siens'!$F$8,1)</f>
        <v>25</v>
      </c>
      <c r="C91" s="64"/>
      <c r="D91" s="121"/>
      <c r="E91" s="122"/>
      <c r="F91" s="10" t="s">
        <v>21</v>
      </c>
      <c r="G91" s="168">
        <f>(B94*B128)+(C128*B95)+(B96*E128)+(B97*F128)+(D128*B98)</f>
        <v>618.2107692307701</v>
      </c>
      <c r="H91" s="123">
        <f>G91*G128</f>
        <v>2101.916615384618</v>
      </c>
      <c r="I91" s="66">
        <f t="shared" si="5"/>
        <v>19.15</v>
      </c>
      <c r="J91" s="69">
        <f>ROUND(H91/$H$9%,2)</f>
        <v>16.67</v>
      </c>
    </row>
    <row r="92" spans="1:10" ht="15.75">
      <c r="A92" s="9" t="s">
        <v>20</v>
      </c>
      <c r="B92" s="63">
        <f>ROUND(G95/150,1)</f>
        <v>0</v>
      </c>
      <c r="C92" s="64" t="s">
        <v>10</v>
      </c>
      <c r="D92" s="121"/>
      <c r="E92" s="122"/>
      <c r="F92" s="250" t="s">
        <v>125</v>
      </c>
      <c r="G92" s="253">
        <f>(B94*B129)+(C129*B95)+(B96*E129)+(B97*F129)+(D129*B98)</f>
        <v>49.45192307692315</v>
      </c>
      <c r="H92" s="213">
        <f>G92*H129</f>
        <v>6428.75000000001</v>
      </c>
      <c r="I92" s="220">
        <f t="shared" si="5"/>
        <v>58.58</v>
      </c>
      <c r="J92" s="223">
        <f>ROUND(H92/$H$9%,2)</f>
        <v>50.97</v>
      </c>
    </row>
    <row r="93" spans="1:10" ht="15.75">
      <c r="A93" s="76" t="s">
        <v>22</v>
      </c>
      <c r="B93" s="160">
        <f>SUM(B94:B97)</f>
        <v>485.1538461538468</v>
      </c>
      <c r="C93" s="77" t="s">
        <v>10</v>
      </c>
      <c r="D93" s="121"/>
      <c r="E93" s="122"/>
      <c r="F93" s="251"/>
      <c r="G93" s="254"/>
      <c r="H93" s="196"/>
      <c r="I93" s="221">
        <f t="shared" si="5"/>
        <v>0</v>
      </c>
      <c r="J93" s="224">
        <f>ROUND(H93/$H$9%,2)</f>
        <v>0</v>
      </c>
    </row>
    <row r="94" spans="1:10" ht="15.75">
      <c r="A94" s="9" t="s">
        <v>24</v>
      </c>
      <c r="B94" s="160">
        <v>221.1538461538468</v>
      </c>
      <c r="C94" s="64" t="s">
        <v>10</v>
      </c>
      <c r="D94" s="121"/>
      <c r="E94" s="122"/>
      <c r="F94" s="10" t="s">
        <v>29</v>
      </c>
      <c r="G94" s="168">
        <f>(B94*B130)+(C130*B95)+(B96*E130)+(B97*F130)+(D130*B98)</f>
        <v>162.8176923076926</v>
      </c>
      <c r="H94" s="123">
        <f>G94*H130</f>
        <v>4081.8395461538535</v>
      </c>
      <c r="I94" s="66">
        <f>ROUND(H94/$B$26,2)</f>
        <v>37.2</v>
      </c>
      <c r="J94" s="69">
        <f>ROUND(H94/$H$9%,2)</f>
        <v>32.36</v>
      </c>
    </row>
    <row r="95" spans="1:10" ht="15.75">
      <c r="A95" s="9" t="s">
        <v>26</v>
      </c>
      <c r="B95" s="67">
        <f>ROUND(B94/45,0)</f>
        <v>5</v>
      </c>
      <c r="C95" s="64" t="s">
        <v>10</v>
      </c>
      <c r="D95" s="121"/>
      <c r="E95" s="122"/>
      <c r="F95" s="10"/>
      <c r="G95" s="63"/>
      <c r="H95" s="123"/>
      <c r="I95" s="66"/>
      <c r="J95" s="69"/>
    </row>
    <row r="96" spans="1:10" ht="15.75">
      <c r="A96" s="9" t="s">
        <v>170</v>
      </c>
      <c r="B96" s="67">
        <f>ROUND((B98*60%)-(B98*5%),0)</f>
        <v>158</v>
      </c>
      <c r="C96" s="64" t="s">
        <v>10</v>
      </c>
      <c r="D96" s="121"/>
      <c r="E96" s="122"/>
      <c r="F96" s="10"/>
      <c r="G96" s="63"/>
      <c r="H96" s="63"/>
      <c r="I96" s="66"/>
      <c r="J96" s="69"/>
    </row>
    <row r="97" spans="1:10" ht="15.75">
      <c r="A97" s="9" t="s">
        <v>175</v>
      </c>
      <c r="B97" s="67">
        <f>ROUND((B98*40%)-(B98*5%),0)</f>
        <v>101</v>
      </c>
      <c r="C97" s="64"/>
      <c r="D97" s="121"/>
      <c r="E97" s="122"/>
      <c r="F97" s="10"/>
      <c r="G97" s="63"/>
      <c r="H97" s="63"/>
      <c r="I97" s="66"/>
      <c r="J97" s="69"/>
    </row>
    <row r="98" spans="1:11" ht="15.75">
      <c r="A98" s="9" t="s">
        <v>156</v>
      </c>
      <c r="B98" s="67">
        <f>ROUND(B94*1.3,0)</f>
        <v>288</v>
      </c>
      <c r="C98" s="64" t="s">
        <v>10</v>
      </c>
      <c r="D98" s="121"/>
      <c r="E98" s="122"/>
      <c r="F98" s="7" t="s">
        <v>126</v>
      </c>
      <c r="G98" s="63"/>
      <c r="H98" s="65">
        <v>80</v>
      </c>
      <c r="I98" s="66">
        <f aca="true" t="shared" si="6" ref="I98:I115">ROUND(H98/$B$26,2)</f>
        <v>0.73</v>
      </c>
      <c r="J98" s="8">
        <f aca="true" t="shared" si="7" ref="J98:J107">ROUND(H98/$H$39%,2)</f>
        <v>0.28</v>
      </c>
      <c r="K98" s="166"/>
    </row>
    <row r="99" spans="1:11" ht="15.75">
      <c r="A99" s="62" t="s">
        <v>36</v>
      </c>
      <c r="B99" s="78">
        <f>ROUND((B98*10%)+(B96*5%),0)</f>
        <v>37</v>
      </c>
      <c r="C99" s="79">
        <v>10</v>
      </c>
      <c r="D99" s="121"/>
      <c r="E99" s="122"/>
      <c r="F99" s="7" t="s">
        <v>39</v>
      </c>
      <c r="G99" s="63">
        <f>B159/1000</f>
        <v>0.083</v>
      </c>
      <c r="H99" s="65">
        <f>K99*G99</f>
        <v>14.940000000000001</v>
      </c>
      <c r="I99" s="66">
        <f t="shared" si="6"/>
        <v>0.14</v>
      </c>
      <c r="J99" s="8">
        <f t="shared" si="7"/>
        <v>0.05</v>
      </c>
      <c r="K99" s="166">
        <v>180</v>
      </c>
    </row>
    <row r="100" spans="1:10" ht="16.5" thickBot="1">
      <c r="A100" s="14" t="s">
        <v>38</v>
      </c>
      <c r="B100" s="161">
        <f>SUM(B94:B95)</f>
        <v>226.1538461538468</v>
      </c>
      <c r="C100" s="79">
        <f>ROUND((B95*225+B94*C25)/B100,2)</f>
        <v>175</v>
      </c>
      <c r="D100" s="121"/>
      <c r="E100" s="122"/>
      <c r="F100" s="7" t="s">
        <v>41</v>
      </c>
      <c r="G100" s="63">
        <v>6</v>
      </c>
      <c r="H100" s="65">
        <v>196</v>
      </c>
      <c r="I100" s="66">
        <f t="shared" si="6"/>
        <v>1.79</v>
      </c>
      <c r="J100" s="8">
        <f t="shared" si="7"/>
        <v>0.68</v>
      </c>
    </row>
    <row r="101" spans="1:10" ht="17.25" thickTop="1">
      <c r="A101" s="217" t="s">
        <v>40</v>
      </c>
      <c r="B101" s="218"/>
      <c r="C101" s="218"/>
      <c r="D101" s="218"/>
      <c r="E101" s="219"/>
      <c r="F101" s="19" t="s">
        <v>71</v>
      </c>
      <c r="G101" s="82"/>
      <c r="H101" s="83"/>
      <c r="I101" s="84">
        <f t="shared" si="6"/>
        <v>0</v>
      </c>
      <c r="J101" s="85">
        <f t="shared" si="7"/>
        <v>0</v>
      </c>
    </row>
    <row r="102" spans="1:10" ht="28.5">
      <c r="A102" s="15" t="s">
        <v>2</v>
      </c>
      <c r="B102" s="16" t="s">
        <v>3</v>
      </c>
      <c r="C102" s="16" t="s">
        <v>4</v>
      </c>
      <c r="D102" s="17" t="s">
        <v>42</v>
      </c>
      <c r="E102" s="18" t="s">
        <v>8</v>
      </c>
      <c r="F102" s="19" t="s">
        <v>44</v>
      </c>
      <c r="G102" s="173">
        <f>ROUND(B94+B96+B95,2)</f>
        <v>384.15</v>
      </c>
      <c r="H102" s="159">
        <f>G102*0.035</f>
        <v>13.44525</v>
      </c>
      <c r="I102" s="84">
        <f t="shared" si="6"/>
        <v>0.12</v>
      </c>
      <c r="J102" s="85">
        <f t="shared" si="7"/>
        <v>0.05</v>
      </c>
    </row>
    <row r="103" spans="1:10" ht="31.5">
      <c r="A103" s="62" t="s">
        <v>43</v>
      </c>
      <c r="B103" s="123">
        <f>ROUND((($B$16*0.55)+(B94*30%*0.8)-(B97*5%*0.55)),3)</f>
        <v>105.849</v>
      </c>
      <c r="C103" s="64" t="s">
        <v>10</v>
      </c>
      <c r="D103" s="64" t="s">
        <v>10</v>
      </c>
      <c r="E103" s="8" t="s">
        <v>10</v>
      </c>
      <c r="F103" s="128" t="s">
        <v>127</v>
      </c>
      <c r="G103" s="129"/>
      <c r="H103" s="83">
        <f>ROUND((1.5*B93),2)</f>
        <v>727.73</v>
      </c>
      <c r="I103" s="84">
        <f t="shared" si="6"/>
        <v>6.63</v>
      </c>
      <c r="J103" s="85">
        <f t="shared" si="7"/>
        <v>2.52</v>
      </c>
    </row>
    <row r="104" spans="1:10" ht="15.75">
      <c r="A104" s="9" t="s">
        <v>45</v>
      </c>
      <c r="B104" s="67">
        <v>46</v>
      </c>
      <c r="C104" s="64" t="s">
        <v>10</v>
      </c>
      <c r="D104" s="64" t="s">
        <v>10</v>
      </c>
      <c r="E104" s="8" t="s">
        <v>10</v>
      </c>
      <c r="F104" s="7" t="s">
        <v>48</v>
      </c>
      <c r="G104" s="63"/>
      <c r="H104" s="65">
        <f>C137*0.5%</f>
        <v>222.5</v>
      </c>
      <c r="I104" s="66">
        <f t="shared" si="6"/>
        <v>2.03</v>
      </c>
      <c r="J104" s="8">
        <f t="shared" si="7"/>
        <v>0.77</v>
      </c>
    </row>
    <row r="105" spans="1:10" ht="15.75">
      <c r="A105" s="62" t="s">
        <v>47</v>
      </c>
      <c r="B105" s="63">
        <f>ROUND(B103*B104%,3)</f>
        <v>48.691</v>
      </c>
      <c r="C105" s="68">
        <v>172.4043478260869</v>
      </c>
      <c r="D105" s="68">
        <f>B105*C105</f>
        <v>8394.540099999998</v>
      </c>
      <c r="E105" s="8">
        <f>ROUND(D105/$D$34%,2)</f>
        <v>26.24</v>
      </c>
      <c r="F105" s="7" t="s">
        <v>50</v>
      </c>
      <c r="G105" s="63"/>
      <c r="H105" s="65">
        <v>100</v>
      </c>
      <c r="I105" s="66">
        <f t="shared" si="6"/>
        <v>0.91</v>
      </c>
      <c r="J105" s="8">
        <f t="shared" si="7"/>
        <v>0.35</v>
      </c>
    </row>
    <row r="106" spans="1:10" ht="15.75">
      <c r="A106" s="20" t="s">
        <v>169</v>
      </c>
      <c r="B106" s="67">
        <f>ROUND(B96-(B96*30%),0)</f>
        <v>111</v>
      </c>
      <c r="C106" s="172">
        <v>196.41345431789748</v>
      </c>
      <c r="D106" s="68">
        <f>B106*C106</f>
        <v>21801.89342928662</v>
      </c>
      <c r="E106" s="8">
        <f>ROUND(D106/$D$34%,2)</f>
        <v>68.16</v>
      </c>
      <c r="F106" s="7" t="s">
        <v>52</v>
      </c>
      <c r="G106" s="63"/>
      <c r="H106" s="65">
        <v>50</v>
      </c>
      <c r="I106" s="66">
        <f t="shared" si="6"/>
        <v>0.46</v>
      </c>
      <c r="J106" s="8">
        <f t="shared" si="7"/>
        <v>0.17</v>
      </c>
    </row>
    <row r="107" spans="1:10" ht="15.75">
      <c r="A107" s="21" t="s">
        <v>51</v>
      </c>
      <c r="B107" s="86">
        <f>ROUND(B105+(B106*0.55),3)</f>
        <v>109.741</v>
      </c>
      <c r="C107" s="87" t="s">
        <v>10</v>
      </c>
      <c r="D107" s="147">
        <f>SUM(D105:D106)</f>
        <v>30196.43352928662</v>
      </c>
      <c r="E107" s="8">
        <f>ROUND(D107/$D$34%,2)</f>
        <v>94.4</v>
      </c>
      <c r="F107" s="61" t="s">
        <v>130</v>
      </c>
      <c r="G107" s="63"/>
      <c r="H107" s="65">
        <f>ROUND((225*B95/3)+(B94*C25/5),2)</f>
        <v>8065.57</v>
      </c>
      <c r="I107" s="66">
        <f t="shared" si="6"/>
        <v>73.5</v>
      </c>
      <c r="J107" s="8">
        <f t="shared" si="7"/>
        <v>27.89</v>
      </c>
    </row>
    <row r="108" spans="1:10" ht="15.75">
      <c r="A108" s="20" t="s">
        <v>53</v>
      </c>
      <c r="B108" s="123">
        <f>(2.5*(B94+B95)+1.5*B96+1*B97)/100</f>
        <v>9.03384615384617</v>
      </c>
      <c r="C108" s="64">
        <v>68.44</v>
      </c>
      <c r="D108" s="68">
        <f>B108*C108</f>
        <v>618.2764307692319</v>
      </c>
      <c r="E108" s="8">
        <f>ROUND(D108/$D$34%,2)</f>
        <v>1.93</v>
      </c>
      <c r="F108" s="7" t="s">
        <v>55</v>
      </c>
      <c r="G108" s="63"/>
      <c r="H108" s="65">
        <f>E146</f>
        <v>2130</v>
      </c>
      <c r="I108" s="66">
        <f t="shared" si="6"/>
        <v>19.41</v>
      </c>
      <c r="J108" s="8">
        <f>ROUND(H108/$H$39%,2)</f>
        <v>7.36</v>
      </c>
    </row>
    <row r="109" spans="1:10" ht="15.75">
      <c r="A109" s="20" t="s">
        <v>54</v>
      </c>
      <c r="B109" s="63"/>
      <c r="C109" s="64"/>
      <c r="D109" s="64"/>
      <c r="E109" s="8"/>
      <c r="F109" s="7" t="s">
        <v>57</v>
      </c>
      <c r="G109" s="63">
        <f>B100*C100</f>
        <v>39576.923076923194</v>
      </c>
      <c r="H109" s="65"/>
      <c r="I109" s="90">
        <f t="shared" si="6"/>
        <v>0</v>
      </c>
      <c r="J109" s="8">
        <f>ROUND(H109/$H$39%,2)</f>
        <v>0</v>
      </c>
    </row>
    <row r="110" spans="1:10" ht="15.75">
      <c r="A110" s="9" t="s">
        <v>56</v>
      </c>
      <c r="B110" s="63"/>
      <c r="C110" s="64"/>
      <c r="D110" s="64"/>
      <c r="E110" s="8"/>
      <c r="F110" s="22" t="s">
        <v>59</v>
      </c>
      <c r="G110" s="63">
        <v>15</v>
      </c>
      <c r="H110" s="127">
        <f>ROUND(((G109/4)*G110%),2)</f>
        <v>1484.13</v>
      </c>
      <c r="I110" s="66">
        <f t="shared" si="6"/>
        <v>13.52</v>
      </c>
      <c r="J110" s="8">
        <f>ROUND(H110/$H$39%,2)</f>
        <v>5.13</v>
      </c>
    </row>
    <row r="111" spans="1:10" ht="15.75">
      <c r="A111" s="9" t="s">
        <v>129</v>
      </c>
      <c r="B111" s="63">
        <f>ROUND($B$16+($B$13*30%),0)</f>
        <v>167</v>
      </c>
      <c r="C111" s="64">
        <v>5</v>
      </c>
      <c r="D111" s="64">
        <f>B111*C111</f>
        <v>835</v>
      </c>
      <c r="E111" s="8">
        <f>ROUND(D111/$D$34%,2)</f>
        <v>2.61</v>
      </c>
      <c r="F111" s="7" t="s">
        <v>61</v>
      </c>
      <c r="G111" s="63">
        <f>B99</f>
        <v>37</v>
      </c>
      <c r="H111" s="65">
        <f>G111*C99</f>
        <v>370</v>
      </c>
      <c r="I111" s="66">
        <f t="shared" si="6"/>
        <v>3.37</v>
      </c>
      <c r="J111" s="8">
        <f>ROUND(H111/$H$39%,2)</f>
        <v>1.28</v>
      </c>
    </row>
    <row r="112" spans="1:10" ht="15.75">
      <c r="A112" s="20" t="s">
        <v>60</v>
      </c>
      <c r="B112" s="63">
        <f>ROUND((B93*0.85)*50%,1)</f>
        <v>206.2</v>
      </c>
      <c r="C112" s="64">
        <v>3</v>
      </c>
      <c r="D112" s="87">
        <f>B112*C112</f>
        <v>618.5999999999999</v>
      </c>
      <c r="E112" s="8">
        <f>ROUND(D112/$D$34%,2)</f>
        <v>1.93</v>
      </c>
      <c r="F112" s="24" t="s">
        <v>63</v>
      </c>
      <c r="G112" s="63"/>
      <c r="H112" s="65"/>
      <c r="I112" s="66">
        <f t="shared" si="6"/>
        <v>0</v>
      </c>
      <c r="J112" s="88"/>
    </row>
    <row r="113" spans="1:10" ht="15.75">
      <c r="A113" s="23" t="s">
        <v>62</v>
      </c>
      <c r="B113" s="86" t="s">
        <v>10</v>
      </c>
      <c r="C113" s="87" t="s">
        <v>10</v>
      </c>
      <c r="D113" s="147">
        <f>SUM(D107:D112)</f>
        <v>32268.30996005585</v>
      </c>
      <c r="E113" s="8" t="s">
        <v>10</v>
      </c>
      <c r="F113" s="25">
        <v>0.25</v>
      </c>
      <c r="G113" s="63"/>
      <c r="H113" s="65">
        <f>F113*$B$15</f>
        <v>39.5</v>
      </c>
      <c r="I113" s="66">
        <f t="shared" si="6"/>
        <v>0.36</v>
      </c>
      <c r="J113" s="8">
        <f>ROUND(H113/$H$39%,2)</f>
        <v>0.14</v>
      </c>
    </row>
    <row r="114" spans="1:10" ht="15.75">
      <c r="A114" s="20" t="s">
        <v>64</v>
      </c>
      <c r="B114" s="65">
        <v>20</v>
      </c>
      <c r="C114" s="87" t="s">
        <v>10</v>
      </c>
      <c r="D114" s="65">
        <f>B106*B114</f>
        <v>2220</v>
      </c>
      <c r="E114" s="8">
        <f>ROUND(D114/$D$34%,2)</f>
        <v>6.94</v>
      </c>
      <c r="F114" s="25">
        <v>1</v>
      </c>
      <c r="G114" s="63"/>
      <c r="H114" s="65">
        <f>F114*$B$15</f>
        <v>158</v>
      </c>
      <c r="I114" s="66">
        <f t="shared" si="6"/>
        <v>1.44</v>
      </c>
      <c r="J114" s="8">
        <f>ROUND(H114/$H$39%,2)</f>
        <v>0.55</v>
      </c>
    </row>
    <row r="115" spans="1:10" ht="15.75">
      <c r="A115" s="26" t="s">
        <v>65</v>
      </c>
      <c r="B115" s="86" t="s">
        <v>10</v>
      </c>
      <c r="C115" s="87" t="s">
        <v>10</v>
      </c>
      <c r="D115" s="147">
        <f>SUM(D113:D114)</f>
        <v>34488.30996005585</v>
      </c>
      <c r="E115" s="91">
        <f>ROUND(D115/$D$34%,2)</f>
        <v>107.82</v>
      </c>
      <c r="F115" s="7" t="s">
        <v>66</v>
      </c>
      <c r="G115" s="63"/>
      <c r="H115" s="65">
        <v>1200</v>
      </c>
      <c r="I115" s="66">
        <f t="shared" si="6"/>
        <v>10.93</v>
      </c>
      <c r="J115" s="8">
        <f>ROUND(H115/$H$39%,2)</f>
        <v>4.15</v>
      </c>
    </row>
    <row r="116" spans="1:10" ht="15.75">
      <c r="A116" s="116"/>
      <c r="B116" s="117"/>
      <c r="C116" s="117"/>
      <c r="D116" s="117"/>
      <c r="E116" s="118"/>
      <c r="F116" s="7"/>
      <c r="G116" s="63"/>
      <c r="H116" s="65"/>
      <c r="I116" s="66"/>
      <c r="J116" s="8"/>
    </row>
    <row r="117" spans="1:10" ht="15.75">
      <c r="A117" s="29" t="s">
        <v>68</v>
      </c>
      <c r="B117" s="94" t="s">
        <v>10</v>
      </c>
      <c r="C117" s="95" t="s">
        <v>10</v>
      </c>
      <c r="D117" s="151">
        <f>ROUND(D115-H120,2)</f>
        <v>3065.39</v>
      </c>
      <c r="E117" s="30"/>
      <c r="F117" s="31"/>
      <c r="G117" s="80"/>
      <c r="H117" s="80"/>
      <c r="I117" s="96">
        <f>ROUND(H117/$B$26,2)</f>
        <v>0</v>
      </c>
      <c r="J117" s="8">
        <f>ROUND(H117/$H$39%,2)</f>
        <v>0</v>
      </c>
    </row>
    <row r="118" spans="1:10" ht="15.75">
      <c r="A118" s="29" t="s">
        <v>148</v>
      </c>
      <c r="B118" s="94" t="s">
        <v>10</v>
      </c>
      <c r="C118" s="95" t="s">
        <v>10</v>
      </c>
      <c r="D118" s="152">
        <f>ROUND(D105-((H120/(B96+B97))*B97),2)</f>
        <v>-3859.19</v>
      </c>
      <c r="E118" s="32"/>
      <c r="F118" s="31"/>
      <c r="G118" s="80"/>
      <c r="H118" s="80"/>
      <c r="I118" s="96"/>
      <c r="J118" s="97"/>
    </row>
    <row r="119" spans="1:10" ht="15.75">
      <c r="A119" s="33" t="s">
        <v>69</v>
      </c>
      <c r="B119" s="98" t="s">
        <v>10</v>
      </c>
      <c r="C119" s="98" t="s">
        <v>10</v>
      </c>
      <c r="D119" s="93">
        <f>ROUND(D117/$H$39%,2)</f>
        <v>10.6</v>
      </c>
      <c r="E119" s="34"/>
      <c r="F119" s="31"/>
      <c r="G119" s="80"/>
      <c r="H119" s="80"/>
      <c r="I119" s="96">
        <f>ROUND(H119/$B$26,2)</f>
        <v>0</v>
      </c>
      <c r="J119" s="99"/>
    </row>
    <row r="120" spans="1:10" ht="16.5" thickBot="1">
      <c r="A120" s="35" t="s">
        <v>149</v>
      </c>
      <c r="B120" s="100" t="s">
        <v>10</v>
      </c>
      <c r="C120" s="100" t="s">
        <v>10</v>
      </c>
      <c r="D120" s="101">
        <f>ROUND(D118/$H$39%,2)</f>
        <v>-13.34</v>
      </c>
      <c r="E120" s="36"/>
      <c r="F120" s="37" t="s">
        <v>70</v>
      </c>
      <c r="G120" s="102"/>
      <c r="H120" s="103">
        <f>SUM(H86,H89,H90,H99:H117)</f>
        <v>31422.92141153848</v>
      </c>
      <c r="I120" s="104">
        <f>ROUND(H120/$B$26,2)</f>
        <v>286.34</v>
      </c>
      <c r="J120" s="105">
        <f>SUM(J86,J89,J90,J99:J117)</f>
        <v>108.67</v>
      </c>
    </row>
    <row r="121" spans="1:2" ht="16.5" thickTop="1">
      <c r="A121" s="61" t="s">
        <v>171</v>
      </c>
      <c r="B121" s="171">
        <f>ROUND((H120-(D105+D108+D111+D112))/B96,2)</f>
        <v>132.64</v>
      </c>
    </row>
    <row r="122" spans="1:2" ht="15.75">
      <c r="A122" s="61" t="s">
        <v>176</v>
      </c>
      <c r="B122" s="61">
        <f>ROUND(B121+(B121*30%),2)</f>
        <v>172.43</v>
      </c>
    </row>
    <row r="124" spans="1:5" ht="16.5" thickBot="1">
      <c r="A124" s="255" t="s">
        <v>242</v>
      </c>
      <c r="B124" s="255"/>
      <c r="C124" s="255"/>
      <c r="D124" s="255"/>
      <c r="E124" s="255"/>
    </row>
    <row r="125" spans="1:13" ht="16.5" customHeight="1" thickTop="1">
      <c r="A125" s="226"/>
      <c r="B125" s="228" t="s">
        <v>153</v>
      </c>
      <c r="C125" s="258"/>
      <c r="D125" s="258"/>
      <c r="E125" s="258"/>
      <c r="F125" s="259"/>
      <c r="G125" s="231" t="s">
        <v>243</v>
      </c>
      <c r="H125" s="231" t="s">
        <v>244</v>
      </c>
      <c r="I125" s="228" t="s">
        <v>154</v>
      </c>
      <c r="J125" s="258"/>
      <c r="K125" s="258"/>
      <c r="L125" s="258"/>
      <c r="M125" s="233"/>
    </row>
    <row r="126" spans="1:13" ht="48" thickBot="1">
      <c r="A126" s="227"/>
      <c r="B126" s="38" t="s">
        <v>79</v>
      </c>
      <c r="C126" s="38" t="s">
        <v>80</v>
      </c>
      <c r="D126" s="38" t="s">
        <v>81</v>
      </c>
      <c r="E126" s="38" t="s">
        <v>174</v>
      </c>
      <c r="F126" s="38" t="s">
        <v>173</v>
      </c>
      <c r="G126" s="232"/>
      <c r="H126" s="232"/>
      <c r="I126" s="38" t="s">
        <v>79</v>
      </c>
      <c r="J126" s="38" t="s">
        <v>80</v>
      </c>
      <c r="K126" s="38" t="s">
        <v>81</v>
      </c>
      <c r="L126" s="169" t="s">
        <v>178</v>
      </c>
      <c r="M126" s="136" t="s">
        <v>128</v>
      </c>
    </row>
    <row r="127" spans="1:13" ht="15.75">
      <c r="A127" s="41" t="s">
        <v>84</v>
      </c>
      <c r="B127" s="245" t="s">
        <v>106</v>
      </c>
      <c r="C127" s="246"/>
      <c r="D127" s="124" t="s">
        <v>105</v>
      </c>
      <c r="E127" s="124" t="s">
        <v>177</v>
      </c>
      <c r="F127" s="124" t="s">
        <v>124</v>
      </c>
      <c r="G127" s="42" t="s">
        <v>10</v>
      </c>
      <c r="H127" s="42" t="s">
        <v>10</v>
      </c>
      <c r="I127" s="245" t="s">
        <v>172</v>
      </c>
      <c r="J127" s="246"/>
      <c r="K127" s="124" t="s">
        <v>105</v>
      </c>
      <c r="L127" s="170" t="s">
        <v>177</v>
      </c>
      <c r="M127" s="137" t="s">
        <v>124</v>
      </c>
    </row>
    <row r="128" spans="1:13" ht="15.75">
      <c r="A128" s="44" t="s">
        <v>86</v>
      </c>
      <c r="B128" s="45">
        <v>1.5</v>
      </c>
      <c r="C128" s="125">
        <v>1.5</v>
      </c>
      <c r="D128" s="125">
        <v>0.01</v>
      </c>
      <c r="E128" s="125">
        <v>1.3</v>
      </c>
      <c r="F128" s="125">
        <v>0.7</v>
      </c>
      <c r="G128" s="155">
        <v>3.4</v>
      </c>
      <c r="H128" s="46" t="s">
        <v>108</v>
      </c>
      <c r="I128" s="156">
        <f>B128*$G128</f>
        <v>5.1</v>
      </c>
      <c r="J128" s="157">
        <f>C128*$G128</f>
        <v>5.1</v>
      </c>
      <c r="K128" s="157">
        <f>D128*$G128</f>
        <v>0.034</v>
      </c>
      <c r="L128" s="157">
        <f>E128*$G128</f>
        <v>4.42</v>
      </c>
      <c r="M128" s="158">
        <f>F128*$G128</f>
        <v>2.38</v>
      </c>
    </row>
    <row r="129" spans="1:13" ht="15.75">
      <c r="A129" s="113" t="s">
        <v>104</v>
      </c>
      <c r="B129" s="114">
        <v>0.11</v>
      </c>
      <c r="C129" s="126">
        <v>0.12</v>
      </c>
      <c r="D129" s="126">
        <v>0.02</v>
      </c>
      <c r="E129" s="126">
        <v>0.09</v>
      </c>
      <c r="F129" s="126">
        <v>0.045</v>
      </c>
      <c r="G129" s="83" t="s">
        <v>108</v>
      </c>
      <c r="H129" s="83">
        <v>130</v>
      </c>
      <c r="I129" s="138">
        <f>B129*$H129</f>
        <v>14.3</v>
      </c>
      <c r="J129" s="45">
        <f>C129*$H129</f>
        <v>15.6</v>
      </c>
      <c r="K129" s="45">
        <f>D129*$H129</f>
        <v>2.6</v>
      </c>
      <c r="L129" s="45">
        <f>E129*$H129</f>
        <v>11.7</v>
      </c>
      <c r="M129" s="139">
        <f>F129*$H129</f>
        <v>5.85</v>
      </c>
    </row>
    <row r="130" spans="1:13" ht="15.75">
      <c r="A130" s="44" t="s">
        <v>29</v>
      </c>
      <c r="B130" s="45">
        <v>0.44</v>
      </c>
      <c r="C130" s="125">
        <v>0.45</v>
      </c>
      <c r="D130" s="125">
        <v>0.02</v>
      </c>
      <c r="E130" s="125">
        <v>0.3</v>
      </c>
      <c r="F130" s="125">
        <v>0.1</v>
      </c>
      <c r="G130" s="46">
        <v>22.63</v>
      </c>
      <c r="H130" s="155">
        <v>25.07</v>
      </c>
      <c r="I130" s="156">
        <f aca="true" t="shared" si="8" ref="I130:M132">B130*$G130</f>
        <v>9.9572</v>
      </c>
      <c r="J130" s="157">
        <f t="shared" si="8"/>
        <v>10.1835</v>
      </c>
      <c r="K130" s="157">
        <f t="shared" si="8"/>
        <v>0.4526</v>
      </c>
      <c r="L130" s="157">
        <f t="shared" si="8"/>
        <v>6.789</v>
      </c>
      <c r="M130" s="158">
        <f t="shared" si="8"/>
        <v>2.263</v>
      </c>
    </row>
    <row r="131" spans="1:13" ht="15.75">
      <c r="A131" s="44"/>
      <c r="B131" s="45"/>
      <c r="C131" s="125"/>
      <c r="D131" s="125"/>
      <c r="E131" s="125"/>
      <c r="F131" s="125"/>
      <c r="G131" s="42"/>
      <c r="H131" s="46"/>
      <c r="I131" s="138">
        <f t="shared" si="8"/>
        <v>0</v>
      </c>
      <c r="J131" s="45">
        <f t="shared" si="8"/>
        <v>0</v>
      </c>
      <c r="K131" s="45">
        <f t="shared" si="8"/>
        <v>0</v>
      </c>
      <c r="L131" s="157">
        <f t="shared" si="8"/>
        <v>0</v>
      </c>
      <c r="M131" s="139">
        <f t="shared" si="8"/>
        <v>0</v>
      </c>
    </row>
    <row r="132" spans="1:13" ht="16.5" thickBot="1">
      <c r="A132" s="131" t="s">
        <v>94</v>
      </c>
      <c r="B132" s="154">
        <v>1</v>
      </c>
      <c r="C132" s="133">
        <v>1</v>
      </c>
      <c r="D132" s="133"/>
      <c r="E132" s="133">
        <v>1</v>
      </c>
      <c r="F132" s="133">
        <v>1</v>
      </c>
      <c r="G132" s="134"/>
      <c r="H132" s="59"/>
      <c r="I132" s="132">
        <f t="shared" si="8"/>
        <v>0</v>
      </c>
      <c r="J132" s="132">
        <f t="shared" si="8"/>
        <v>0</v>
      </c>
      <c r="K132" s="132">
        <f t="shared" si="8"/>
        <v>0</v>
      </c>
      <c r="L132" s="132">
        <f t="shared" si="8"/>
        <v>0</v>
      </c>
      <c r="M132" s="135">
        <f t="shared" si="8"/>
        <v>0</v>
      </c>
    </row>
    <row r="133" spans="1:10" ht="16.5" thickTop="1">
      <c r="A133" s="247" t="s">
        <v>55</v>
      </c>
      <c r="B133" s="248"/>
      <c r="C133" s="248"/>
      <c r="D133" s="248"/>
      <c r="E133" s="249"/>
      <c r="F133"/>
      <c r="G133"/>
      <c r="H133"/>
      <c r="I133"/>
      <c r="J133"/>
    </row>
    <row r="134" spans="1:10" ht="47.25">
      <c r="A134" s="140" t="s">
        <v>142</v>
      </c>
      <c r="B134" s="141" t="s">
        <v>143</v>
      </c>
      <c r="C134" s="141" t="s">
        <v>144</v>
      </c>
      <c r="D134" s="141" t="s">
        <v>145</v>
      </c>
      <c r="E134" s="142" t="s">
        <v>146</v>
      </c>
      <c r="F134"/>
      <c r="G134"/>
      <c r="H134"/>
      <c r="I134"/>
      <c r="J134"/>
    </row>
    <row r="135" spans="1:7" ht="15.75">
      <c r="A135" s="62" t="s">
        <v>133</v>
      </c>
      <c r="B135" s="63">
        <v>500</v>
      </c>
      <c r="C135" s="63">
        <v>40000</v>
      </c>
      <c r="D135" s="63">
        <v>4</v>
      </c>
      <c r="E135" s="143">
        <f>ROUND(C135*D135%,2)</f>
        <v>1600</v>
      </c>
      <c r="F135"/>
      <c r="G135"/>
    </row>
    <row r="136" spans="1:7" ht="15.75">
      <c r="A136" s="62" t="s">
        <v>134</v>
      </c>
      <c r="B136" s="144"/>
      <c r="C136" s="144">
        <v>4500</v>
      </c>
      <c r="D136" s="144">
        <v>4</v>
      </c>
      <c r="E136" s="143">
        <f>ROUND(C136*D136%,2)</f>
        <v>180</v>
      </c>
      <c r="F136"/>
      <c r="G136"/>
    </row>
    <row r="137" spans="1:5" ht="15.75">
      <c r="A137" s="21" t="s">
        <v>150</v>
      </c>
      <c r="B137" s="153"/>
      <c r="C137" s="153">
        <f>SUM(C135:C136)</f>
        <v>44500</v>
      </c>
      <c r="D137" s="153"/>
      <c r="E137" s="91"/>
    </row>
    <row r="138" spans="1:5" ht="15.75">
      <c r="A138" s="62" t="s">
        <v>135</v>
      </c>
      <c r="B138" s="63"/>
      <c r="C138" s="63"/>
      <c r="D138" s="63"/>
      <c r="E138" s="143"/>
    </row>
    <row r="139" spans="1:5" ht="15.75">
      <c r="A139" s="9" t="s">
        <v>136</v>
      </c>
      <c r="B139" s="63"/>
      <c r="C139" s="63">
        <v>8000</v>
      </c>
      <c r="D139" s="63">
        <v>14</v>
      </c>
      <c r="E139" s="143">
        <f aca="true" t="shared" si="9" ref="E139:E145">ROUND(C139*D139%,2)</f>
        <v>1120</v>
      </c>
    </row>
    <row r="140" spans="1:5" ht="15.75">
      <c r="A140" s="9" t="s">
        <v>157</v>
      </c>
      <c r="B140" s="63">
        <v>3200</v>
      </c>
      <c r="C140" s="63">
        <v>1700</v>
      </c>
      <c r="D140" s="63">
        <v>14</v>
      </c>
      <c r="E140" s="143">
        <f t="shared" si="9"/>
        <v>238</v>
      </c>
    </row>
    <row r="141" spans="1:5" ht="15.75">
      <c r="A141" s="9" t="s">
        <v>137</v>
      </c>
      <c r="B141" s="63"/>
      <c r="C141" s="63">
        <v>2000</v>
      </c>
      <c r="D141" s="63">
        <v>14</v>
      </c>
      <c r="E141" s="143">
        <f t="shared" si="9"/>
        <v>280</v>
      </c>
    </row>
    <row r="142" spans="1:5" ht="15.75">
      <c r="A142" s="9" t="s">
        <v>138</v>
      </c>
      <c r="B142" s="63"/>
      <c r="C142" s="63">
        <v>1500</v>
      </c>
      <c r="D142" s="63">
        <v>14</v>
      </c>
      <c r="E142" s="143">
        <f t="shared" si="9"/>
        <v>210</v>
      </c>
    </row>
    <row r="143" spans="1:5" ht="15.75">
      <c r="A143" s="9" t="s">
        <v>139</v>
      </c>
      <c r="B143" s="63"/>
      <c r="C143" s="63">
        <v>1500</v>
      </c>
      <c r="D143" s="63">
        <v>14</v>
      </c>
      <c r="E143" s="143">
        <f t="shared" si="9"/>
        <v>210</v>
      </c>
    </row>
    <row r="144" spans="1:5" ht="15.75">
      <c r="A144" s="9" t="s">
        <v>140</v>
      </c>
      <c r="B144" s="63"/>
      <c r="C144" s="63">
        <v>700</v>
      </c>
      <c r="D144" s="63">
        <v>14</v>
      </c>
      <c r="E144" s="143">
        <f t="shared" si="9"/>
        <v>98</v>
      </c>
    </row>
    <row r="145" spans="1:5" ht="15.75">
      <c r="A145" s="9" t="s">
        <v>141</v>
      </c>
      <c r="B145" s="63"/>
      <c r="C145" s="63">
        <v>1100</v>
      </c>
      <c r="D145" s="63">
        <v>14</v>
      </c>
      <c r="E145" s="143">
        <f t="shared" si="9"/>
        <v>154</v>
      </c>
    </row>
    <row r="146" spans="1:5" ht="15.75">
      <c r="A146" s="148" t="s">
        <v>147</v>
      </c>
      <c r="B146" s="149"/>
      <c r="C146" s="149"/>
      <c r="D146" s="149"/>
      <c r="E146" s="150">
        <f>E135+E136+E140+(E139*10%)</f>
        <v>2130</v>
      </c>
    </row>
    <row r="147" spans="1:5" ht="16.5" thickBot="1">
      <c r="A147" s="145" t="s">
        <v>51</v>
      </c>
      <c r="B147" s="146" t="s">
        <v>10</v>
      </c>
      <c r="C147" s="146">
        <f>SUM(C135:C145)</f>
        <v>105500</v>
      </c>
      <c r="D147" s="146" t="s">
        <v>10</v>
      </c>
      <c r="E147" s="105">
        <f>SUM(E135:E145)</f>
        <v>4090</v>
      </c>
    </row>
    <row r="148" ht="16.5" thickTop="1"/>
    <row r="149" spans="1:3" ht="15.75">
      <c r="A149" s="165" t="s">
        <v>168</v>
      </c>
      <c r="B149" s="162"/>
      <c r="C149" s="162"/>
    </row>
    <row r="150" spans="1:3" ht="15.75">
      <c r="A150" t="s">
        <v>158</v>
      </c>
      <c r="B150" s="162">
        <v>7</v>
      </c>
      <c r="C150" s="162">
        <f>ROUND(B150*B94,0)</f>
        <v>1548</v>
      </c>
    </row>
    <row r="151" spans="1:3" ht="15.75">
      <c r="A151" t="s">
        <v>159</v>
      </c>
      <c r="B151" s="162">
        <v>7</v>
      </c>
      <c r="C151" s="162">
        <f>ROUND(B151*B95,0)</f>
        <v>35</v>
      </c>
    </row>
    <row r="152" spans="1:3" ht="15.75">
      <c r="A152" t="s">
        <v>160</v>
      </c>
      <c r="B152" s="162">
        <v>3</v>
      </c>
      <c r="C152" s="162">
        <f>ROUND(B152*B96,0)</f>
        <v>474</v>
      </c>
    </row>
    <row r="153" spans="1:3" ht="15.75">
      <c r="A153" t="s">
        <v>163</v>
      </c>
      <c r="B153" s="162"/>
      <c r="C153" s="162">
        <f>SUM(C150:C152)</f>
        <v>2057</v>
      </c>
    </row>
    <row r="154" spans="1:3" ht="15.75">
      <c r="A154" t="s">
        <v>162</v>
      </c>
      <c r="B154" s="163">
        <f>ROUND(B90/10,1)</f>
        <v>3</v>
      </c>
      <c r="C154" s="162"/>
    </row>
    <row r="155" spans="1:3" ht="15.75">
      <c r="A155" t="s">
        <v>161</v>
      </c>
      <c r="B155" s="162">
        <v>150</v>
      </c>
      <c r="C155" s="162"/>
    </row>
    <row r="156" spans="1:3" ht="15.75">
      <c r="A156" t="s">
        <v>164</v>
      </c>
      <c r="B156" s="162">
        <v>0.25</v>
      </c>
      <c r="C156" s="162"/>
    </row>
    <row r="157" spans="1:3" ht="15.75">
      <c r="A157" t="s">
        <v>165</v>
      </c>
      <c r="B157" s="164">
        <f>ROUND(C153/B140*B155,0)</f>
        <v>96</v>
      </c>
      <c r="C157" s="162"/>
    </row>
    <row r="158" spans="1:3" ht="15.75">
      <c r="A158" t="s">
        <v>166</v>
      </c>
      <c r="B158" s="162">
        <f>ROUND(B156*B154*B157,2)</f>
        <v>72</v>
      </c>
      <c r="C158" s="162"/>
    </row>
    <row r="159" spans="1:3" ht="15.75">
      <c r="A159" t="s">
        <v>167</v>
      </c>
      <c r="B159" s="162">
        <f>ROUND(B158+(B158*15%),0)</f>
        <v>83</v>
      </c>
      <c r="C159" s="162"/>
    </row>
  </sheetData>
  <mergeCells count="38">
    <mergeCell ref="A43:E43"/>
    <mergeCell ref="A124:E124"/>
    <mergeCell ref="A1:J1"/>
    <mergeCell ref="A3:E3"/>
    <mergeCell ref="F3:J3"/>
    <mergeCell ref="D4:E4"/>
    <mergeCell ref="J11:J12"/>
    <mergeCell ref="A20:E20"/>
    <mergeCell ref="A44:A45"/>
    <mergeCell ref="G44:G45"/>
    <mergeCell ref="F11:F12"/>
    <mergeCell ref="G11:G12"/>
    <mergeCell ref="H11:H12"/>
    <mergeCell ref="I11:I12"/>
    <mergeCell ref="I46:J46"/>
    <mergeCell ref="B46:C46"/>
    <mergeCell ref="A52:E52"/>
    <mergeCell ref="B44:F44"/>
    <mergeCell ref="H44:H45"/>
    <mergeCell ref="I44:M44"/>
    <mergeCell ref="A82:J82"/>
    <mergeCell ref="A84:E84"/>
    <mergeCell ref="F84:J84"/>
    <mergeCell ref="D85:E85"/>
    <mergeCell ref="F92:F93"/>
    <mergeCell ref="G92:G93"/>
    <mergeCell ref="H92:H93"/>
    <mergeCell ref="I92:I93"/>
    <mergeCell ref="B127:C127"/>
    <mergeCell ref="I127:J127"/>
    <mergeCell ref="A133:E133"/>
    <mergeCell ref="J92:J93"/>
    <mergeCell ref="A101:E101"/>
    <mergeCell ref="A125:A126"/>
    <mergeCell ref="B125:F125"/>
    <mergeCell ref="G125:G126"/>
    <mergeCell ref="H125:H126"/>
    <mergeCell ref="I125:M125"/>
  </mergeCells>
  <printOptions horizontalCentered="1" verticalCentered="1"/>
  <pageMargins left="0.2755905511811024" right="0.31496062992125984" top="0.3937007874015748" bottom="0.5511811023622047" header="0" footer="0"/>
  <pageSetup horizontalDpi="600" verticalDpi="600" orientation="landscape" paperSize="9" scale="79" r:id="rId1"/>
  <headerFooter alignWithMargins="0">
    <oddHeader>&amp;R&amp;14&amp;A &amp;12&amp;P. lappuse</oddHeader>
    <oddFooter>&amp;CStratēģijas un kopsavilkuma nodaļa
Dainis Saukāns, tel 7027346, fakss 7027514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A3"/>
  <sheetViews>
    <sheetView workbookViewId="0" topLeftCell="A16">
      <selection activeCell="H36" sqref="H36"/>
    </sheetView>
  </sheetViews>
  <sheetFormatPr defaultColWidth="9.00390625" defaultRowHeight="15.75"/>
  <cols>
    <col min="1" max="1" width="10.00390625" style="183" bestFit="1" customWidth="1"/>
    <col min="2" max="2" width="9.375" style="183" bestFit="1" customWidth="1"/>
    <col min="3" max="3" width="7.625" style="183" bestFit="1" customWidth="1"/>
    <col min="4" max="4" width="4.75390625" style="183" bestFit="1" customWidth="1"/>
    <col min="5" max="5" width="7.25390625" style="183" bestFit="1" customWidth="1"/>
    <col min="6" max="6" width="4.625" style="183" bestFit="1" customWidth="1"/>
    <col min="7" max="7" width="8.625" style="183" bestFit="1" customWidth="1"/>
    <col min="8" max="8" width="6.75390625" style="183" bestFit="1" customWidth="1"/>
    <col min="9" max="9" width="7.75390625" style="183" bestFit="1" customWidth="1"/>
    <col min="10" max="10" width="7.625" style="183" bestFit="1" customWidth="1"/>
    <col min="11" max="11" width="7.00390625" style="183" bestFit="1" customWidth="1"/>
    <col min="12" max="12" width="7.875" style="183" bestFit="1" customWidth="1"/>
    <col min="13" max="13" width="7.125" style="183" bestFit="1" customWidth="1"/>
    <col min="14" max="14" width="6.875" style="183" bestFit="1" customWidth="1"/>
    <col min="15" max="15" width="7.00390625" style="183" bestFit="1" customWidth="1"/>
    <col min="16" max="16" width="6.125" style="183" bestFit="1" customWidth="1"/>
    <col min="17" max="17" width="7.50390625" style="183" bestFit="1" customWidth="1"/>
    <col min="18" max="18" width="5.25390625" style="183" bestFit="1" customWidth="1"/>
    <col min="19" max="19" width="5.00390625" style="183" bestFit="1" customWidth="1"/>
    <col min="20" max="20" width="8.125" style="183" bestFit="1" customWidth="1"/>
    <col min="21" max="21" width="5.00390625" style="183" bestFit="1" customWidth="1"/>
    <col min="22" max="22" width="5.875" style="183" bestFit="1" customWidth="1"/>
    <col min="23" max="23" width="4.75390625" style="183" bestFit="1" customWidth="1"/>
    <col min="24" max="24" width="6.625" style="183" bestFit="1" customWidth="1"/>
    <col min="25" max="25" width="5.875" style="183" bestFit="1" customWidth="1"/>
    <col min="26" max="26" width="8.125" style="183" bestFit="1" customWidth="1"/>
    <col min="27" max="27" width="7.625" style="183" bestFit="1" customWidth="1"/>
    <col min="28" max="16384" width="8.00390625" style="183" customWidth="1"/>
  </cols>
  <sheetData>
    <row r="2" spans="2:27" s="184" customFormat="1" ht="12.75">
      <c r="B2" s="184" t="s">
        <v>192</v>
      </c>
      <c r="C2" s="184" t="s">
        <v>193</v>
      </c>
      <c r="D2" s="184" t="s">
        <v>194</v>
      </c>
      <c r="E2" s="184" t="s">
        <v>195</v>
      </c>
      <c r="F2" s="184" t="s">
        <v>196</v>
      </c>
      <c r="G2" s="184" t="s">
        <v>197</v>
      </c>
      <c r="H2" s="184" t="s">
        <v>198</v>
      </c>
      <c r="I2" s="184" t="s">
        <v>199</v>
      </c>
      <c r="J2" s="184" t="s">
        <v>200</v>
      </c>
      <c r="K2" s="184" t="s">
        <v>201</v>
      </c>
      <c r="L2" s="184" t="s">
        <v>202</v>
      </c>
      <c r="M2" s="184" t="s">
        <v>203</v>
      </c>
      <c r="N2" s="184" t="s">
        <v>204</v>
      </c>
      <c r="O2" s="184" t="s">
        <v>205</v>
      </c>
      <c r="P2" s="184" t="s">
        <v>206</v>
      </c>
      <c r="Q2" s="184" t="s">
        <v>207</v>
      </c>
      <c r="R2" s="184" t="s">
        <v>208</v>
      </c>
      <c r="S2" s="184" t="s">
        <v>209</v>
      </c>
      <c r="T2" s="184" t="s">
        <v>210</v>
      </c>
      <c r="U2" s="184" t="s">
        <v>211</v>
      </c>
      <c r="V2" s="184" t="s">
        <v>212</v>
      </c>
      <c r="W2" s="184" t="s">
        <v>213</v>
      </c>
      <c r="X2" s="184" t="s">
        <v>214</v>
      </c>
      <c r="Y2" s="184" t="s">
        <v>215</v>
      </c>
      <c r="Z2" s="184" t="s">
        <v>216</v>
      </c>
      <c r="AA2" s="184" t="s">
        <v>217</v>
      </c>
    </row>
    <row r="3" spans="1:27" s="184" customFormat="1" ht="12.75">
      <c r="A3" s="184" t="s">
        <v>183</v>
      </c>
      <c r="B3" s="184">
        <v>2.59</v>
      </c>
      <c r="C3" s="184">
        <v>2.06</v>
      </c>
      <c r="D3" s="184">
        <v>6.9</v>
      </c>
      <c r="E3" s="184">
        <v>1.11</v>
      </c>
      <c r="F3" s="184">
        <v>3.32</v>
      </c>
      <c r="G3" s="184">
        <v>9.14</v>
      </c>
      <c r="H3" s="184">
        <v>1.44</v>
      </c>
      <c r="I3" s="184">
        <v>4.5</v>
      </c>
      <c r="J3" s="184">
        <v>3.78</v>
      </c>
      <c r="K3" s="184">
        <v>1.57</v>
      </c>
      <c r="L3" s="184">
        <v>10.8</v>
      </c>
      <c r="M3" s="184">
        <v>6.36</v>
      </c>
      <c r="N3" s="184">
        <v>2.66</v>
      </c>
      <c r="O3" s="184">
        <v>1.89</v>
      </c>
      <c r="P3" s="184">
        <v>4.85</v>
      </c>
      <c r="Q3" s="184">
        <v>3.93</v>
      </c>
      <c r="R3" s="184">
        <v>3.08</v>
      </c>
      <c r="S3" s="184">
        <v>8.09</v>
      </c>
      <c r="T3" s="184">
        <v>9.22</v>
      </c>
      <c r="U3" s="184">
        <v>0.58</v>
      </c>
      <c r="V3" s="184">
        <v>2.29</v>
      </c>
      <c r="W3" s="184">
        <v>2.77</v>
      </c>
      <c r="X3" s="184">
        <v>2.09</v>
      </c>
      <c r="Y3" s="184">
        <v>1.75</v>
      </c>
      <c r="Z3" s="184">
        <v>1.57</v>
      </c>
      <c r="AA3" s="184">
        <v>1.66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I12" sqref="I12"/>
    </sheetView>
  </sheetViews>
  <sheetFormatPr defaultColWidth="9.00390625" defaultRowHeight="15.75"/>
  <sheetData>
    <row r="1" spans="1:4" ht="15.75">
      <c r="A1" t="s">
        <v>218</v>
      </c>
      <c r="B1" t="s">
        <v>219</v>
      </c>
      <c r="C1" t="s">
        <v>220</v>
      </c>
      <c r="D1" t="s">
        <v>221</v>
      </c>
    </row>
    <row r="2" spans="1:4" ht="15.75">
      <c r="A2">
        <v>17.83</v>
      </c>
      <c r="B2">
        <v>49</v>
      </c>
      <c r="C2">
        <v>19.6</v>
      </c>
      <c r="D2">
        <v>13.57</v>
      </c>
    </row>
  </sheetData>
  <printOptions horizontalCentered="1" verticalCentered="1"/>
  <pageMargins left="0.2755905511811024" right="0.31496062992125984" top="0.24" bottom="0.25" header="0.24" footer="0.35"/>
  <pageSetup horizontalDpi="600" verticalDpi="600" orientation="landscape" paperSize="9" scale="82" r:id="rId2"/>
  <headerFooter alignWithMargins="0">
    <oddHeader>&amp;C&amp;F &amp;A&amp;R&amp;D</oddHeader>
    <oddFooter>&amp;CStratēģijas un kopsavilkuma nodaļa
Dainis Saukāns, tel 7027346, fakss 7027514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I7" sqref="I7"/>
    </sheetView>
  </sheetViews>
  <sheetFormatPr defaultColWidth="9.00390625" defaultRowHeight="15.75"/>
  <cols>
    <col min="1" max="1" width="19.75390625" style="0" bestFit="1" customWidth="1"/>
    <col min="2" max="5" width="6.375" style="0" bestFit="1" customWidth="1"/>
  </cols>
  <sheetData>
    <row r="2" spans="1:5" ht="15.75">
      <c r="A2" s="26" t="s">
        <v>222</v>
      </c>
      <c r="B2" s="185">
        <v>406.69507142857145</v>
      </c>
      <c r="C2" s="185">
        <v>365.0043333333333</v>
      </c>
      <c r="D2" s="185">
        <v>360.72557142857147</v>
      </c>
      <c r="E2" s="186">
        <v>369.3771428571429</v>
      </c>
    </row>
    <row r="3" spans="1:5" ht="15.75">
      <c r="A3" s="187" t="s">
        <v>223</v>
      </c>
      <c r="B3" s="188">
        <v>532.2692857142858</v>
      </c>
      <c r="C3" s="188">
        <v>518.8041666666667</v>
      </c>
      <c r="D3" s="188">
        <v>479.6771428571428</v>
      </c>
      <c r="E3" s="189">
        <v>488.2792857142858</v>
      </c>
    </row>
  </sheetData>
  <printOptions horizontalCentered="1" verticalCentered="1"/>
  <pageMargins left="0.2755905511811024" right="0.31496062992125984" top="0.24" bottom="0.25" header="0.24" footer="0.35"/>
  <pageSetup horizontalDpi="600" verticalDpi="600" orientation="landscape" paperSize="9" scale="82" r:id="rId2"/>
  <headerFooter alignWithMargins="0">
    <oddHeader>&amp;C&amp;F &amp;A&amp;R&amp;D</oddHeader>
    <oddFooter>&amp;CStratēģijas un kopsavilkuma nodaļa
Dainis Saukāns, tel 7027346, fakss 7027514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Zemkopibas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Nauzere un Dainis Saukāns</dc:creator>
  <cp:keywords/>
  <dc:description/>
  <cp:lastModifiedBy>Voldemars Vihmanis</cp:lastModifiedBy>
  <cp:lastPrinted>1998-06-04T06:44:21Z</cp:lastPrinted>
  <dcterms:created xsi:type="dcterms:W3CDTF">1998-04-04T07:08:49Z</dcterms:created>
  <cp:category/>
  <cp:version/>
  <cp:contentType/>
  <cp:contentStatus/>
</cp:coreProperties>
</file>