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EBRI_LVAEI_servera_kopija\N_Anpola\NOZ_PROgr_1998\Nozprogr\"/>
    </mc:Choice>
  </mc:AlternateContent>
  <xr:revisionPtr revIDLastSave="0" documentId="8_{460B05FD-3000-4C01-856C-0A42CD966129}" xr6:coauthVersionLast="47" xr6:coauthVersionMax="47" xr10:uidLastSave="{00000000-0000-0000-0000-000000000000}"/>
  <bookViews>
    <workbookView xWindow="-120" yWindow="-120" windowWidth="27330" windowHeight="16440" firstSheet="3" activeTab="3"/>
  </bookViews>
  <sheets>
    <sheet name="peļņas-zaudējuma aprēķins" sheetId="1" r:id="rId1"/>
    <sheet name="pamatlīdzekļi" sheetId="2" r:id="rId2"/>
    <sheet name="ražojošais budžets" sheetId="3" r:id="rId3"/>
    <sheet name="STĪVAIS" sheetId="4" r:id="rId4"/>
  </sheets>
  <externalReferences>
    <externalReference r:id="rId5"/>
  </externalReferences>
  <calcPr calcId="0"/>
</workbook>
</file>

<file path=xl/calcChain.xml><?xml version="1.0" encoding="utf-8"?>
<calcChain xmlns="http://schemas.openxmlformats.org/spreadsheetml/2006/main">
  <c r="D5" i="2" l="1"/>
  <c r="E5" i="2"/>
  <c r="F5" i="2"/>
  <c r="G5" i="2"/>
  <c r="D6" i="2"/>
  <c r="E6" i="2"/>
  <c r="F6" i="2"/>
  <c r="G6" i="2"/>
  <c r="D7" i="2"/>
  <c r="E7" i="2"/>
  <c r="F7" i="2"/>
  <c r="G7" i="2"/>
  <c r="D8" i="2"/>
  <c r="E8" i="2"/>
  <c r="F8" i="2"/>
  <c r="G8" i="2"/>
  <c r="D10" i="2"/>
  <c r="E10" i="2"/>
  <c r="F10" i="2"/>
  <c r="G10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D19" i="2"/>
  <c r="E19" i="2"/>
  <c r="F19" i="2"/>
  <c r="G19" i="2"/>
  <c r="D20" i="2"/>
  <c r="E20" i="2"/>
  <c r="F20" i="2"/>
  <c r="G20" i="2"/>
  <c r="B21" i="2"/>
  <c r="D21" i="2"/>
  <c r="F21" i="2"/>
  <c r="G21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F3" i="1"/>
  <c r="I3" i="1"/>
  <c r="F4" i="1"/>
  <c r="I4" i="1"/>
  <c r="J5" i="1"/>
  <c r="J6" i="1"/>
  <c r="H7" i="1"/>
  <c r="E8" i="1"/>
  <c r="H8" i="1"/>
  <c r="J8" i="1"/>
  <c r="E9" i="1"/>
  <c r="H9" i="1"/>
  <c r="J9" i="1"/>
  <c r="E10" i="1"/>
  <c r="H10" i="1"/>
  <c r="J10" i="1"/>
  <c r="E11" i="1"/>
  <c r="H11" i="1"/>
  <c r="J11" i="1"/>
  <c r="H12" i="1"/>
  <c r="E13" i="1"/>
  <c r="H13" i="1"/>
  <c r="H14" i="1"/>
  <c r="E15" i="1"/>
  <c r="H15" i="1"/>
  <c r="J15" i="1"/>
  <c r="E16" i="1"/>
  <c r="H16" i="1"/>
  <c r="J16" i="1"/>
  <c r="E17" i="1"/>
  <c r="H17" i="1"/>
  <c r="E18" i="1"/>
  <c r="F18" i="1"/>
  <c r="H18" i="1"/>
  <c r="H20" i="1"/>
  <c r="E21" i="1"/>
  <c r="H21" i="1"/>
  <c r="H22" i="1"/>
  <c r="E23" i="1"/>
  <c r="H23" i="1"/>
  <c r="J23" i="1"/>
  <c r="E24" i="1"/>
  <c r="H24" i="1"/>
  <c r="J24" i="1"/>
  <c r="E25" i="1"/>
  <c r="H25" i="1"/>
  <c r="E27" i="1"/>
  <c r="F27" i="1"/>
  <c r="H27" i="1"/>
  <c r="J28" i="1"/>
  <c r="L28" i="1"/>
  <c r="E29" i="1"/>
  <c r="H29" i="1"/>
  <c r="J29" i="1"/>
  <c r="L29" i="1"/>
  <c r="E30" i="1"/>
  <c r="H30" i="1"/>
  <c r="L30" i="1"/>
  <c r="E31" i="1"/>
  <c r="H31" i="1"/>
  <c r="J31" i="1"/>
  <c r="E32" i="1"/>
  <c r="H32" i="1"/>
  <c r="J32" i="1"/>
  <c r="K32" i="1"/>
  <c r="E33" i="1"/>
  <c r="H33" i="1"/>
  <c r="J33" i="1"/>
  <c r="E34" i="1"/>
  <c r="H34" i="1"/>
  <c r="E35" i="1"/>
  <c r="H35" i="1"/>
  <c r="J35" i="1"/>
  <c r="E36" i="1"/>
  <c r="H36" i="1"/>
  <c r="E37" i="1"/>
  <c r="H37" i="1"/>
  <c r="E38" i="1"/>
  <c r="H38" i="1"/>
  <c r="J38" i="1"/>
  <c r="E39" i="1"/>
  <c r="H39" i="1"/>
  <c r="J39" i="1"/>
  <c r="E40" i="1"/>
  <c r="F40" i="1"/>
  <c r="H40" i="1"/>
  <c r="J40" i="1"/>
  <c r="E41" i="1"/>
  <c r="F41" i="1"/>
  <c r="H41" i="1"/>
  <c r="J41" i="1"/>
  <c r="H42" i="1"/>
  <c r="H46" i="1"/>
  <c r="H47" i="1"/>
  <c r="H50" i="1"/>
  <c r="H51" i="1"/>
  <c r="H52" i="1"/>
  <c r="H53" i="1"/>
  <c r="H54" i="1"/>
  <c r="H56" i="1"/>
  <c r="H57" i="1"/>
  <c r="H58" i="1"/>
  <c r="H59" i="1"/>
  <c r="B5" i="3"/>
  <c r="B6" i="3"/>
  <c r="B7" i="3"/>
  <c r="B9" i="3"/>
  <c r="B10" i="3"/>
  <c r="B11" i="3"/>
  <c r="B12" i="3"/>
  <c r="B14" i="3"/>
  <c r="B15" i="3"/>
  <c r="B20" i="3"/>
  <c r="B21" i="3"/>
  <c r="B22" i="3"/>
  <c r="B24" i="3"/>
  <c r="B26" i="3"/>
  <c r="B27" i="3"/>
</calcChain>
</file>

<file path=xl/sharedStrings.xml><?xml version="1.0" encoding="utf-8"?>
<sst xmlns="http://schemas.openxmlformats.org/spreadsheetml/2006/main" count="210" uniqueCount="131">
  <si>
    <t xml:space="preserve">Linu audzēšanas viena ha izmaksas 1997. gadā </t>
  </si>
  <si>
    <t>Dīzeļdegvielas cena, Ls/l</t>
  </si>
  <si>
    <t>Akcīze</t>
  </si>
  <si>
    <t>Zemn. Saimn.</t>
  </si>
  <si>
    <t>Vidējā darba samaksa, Ls/mēnesī</t>
  </si>
  <si>
    <t>Darba h/mēn.</t>
  </si>
  <si>
    <t>Stundā</t>
  </si>
  <si>
    <t>Mērvienība</t>
  </si>
  <si>
    <t>Apjoms</t>
  </si>
  <si>
    <t>Izstrādes norma 1 h</t>
  </si>
  <si>
    <t>Darba apjoms, h</t>
  </si>
  <si>
    <t>Dīzeļdegviela, l</t>
  </si>
  <si>
    <t>Cena</t>
  </si>
  <si>
    <t>Summa</t>
  </si>
  <si>
    <t>Kopējā platība</t>
  </si>
  <si>
    <t>aram-zeme</t>
  </si>
  <si>
    <t>Linu platība</t>
  </si>
  <si>
    <t>AUGSNES SAGATAVOŠANA</t>
  </si>
  <si>
    <t>Raundaps</t>
  </si>
  <si>
    <t>kg</t>
  </si>
  <si>
    <t>Herbicīdu miglošana</t>
  </si>
  <si>
    <t>ha</t>
  </si>
  <si>
    <t>Augsnes lobīšana</t>
  </si>
  <si>
    <t>Augses aršana</t>
  </si>
  <si>
    <t>Kultivēšana</t>
  </si>
  <si>
    <t>Minerālmēsli NPK</t>
  </si>
  <si>
    <t>t</t>
  </si>
  <si>
    <t>Minerālmēslu atvešana</t>
  </si>
  <si>
    <t>Minerālmēslu iekraušana</t>
  </si>
  <si>
    <t>c.h</t>
  </si>
  <si>
    <t>Minerālmēslu izkliedēšana</t>
  </si>
  <si>
    <t>Akmeņu novākšana</t>
  </si>
  <si>
    <t>Kultivēšana, ecēšana</t>
  </si>
  <si>
    <t>KOPĀ</t>
  </si>
  <si>
    <t>X</t>
  </si>
  <si>
    <t>SĒJA UN SĒJUMU APSTRĀDE</t>
  </si>
  <si>
    <t>Sēkla</t>
  </si>
  <si>
    <t>Sēklas kodināšana</t>
  </si>
  <si>
    <t>Kodne</t>
  </si>
  <si>
    <t>kg/t</t>
  </si>
  <si>
    <t>Augsnes pievelšana</t>
  </si>
  <si>
    <t>Sēja un pievelšana</t>
  </si>
  <si>
    <t>Miglošana</t>
  </si>
  <si>
    <t>Hebicīdi</t>
  </si>
  <si>
    <t>kg/ha</t>
  </si>
  <si>
    <t>LINU NOVĀKŠANA</t>
  </si>
  <si>
    <t>MTZ-82</t>
  </si>
  <si>
    <t>Linu novākšana ar kombainu izklājot uz lauka</t>
  </si>
  <si>
    <t>MTZ-80</t>
  </si>
  <si>
    <t>Galviņu novešana no lauka</t>
  </si>
  <si>
    <t>T-150K</t>
  </si>
  <si>
    <t>Kulšana</t>
  </si>
  <si>
    <t>Linu apvēršana</t>
  </si>
  <si>
    <t>Linu pacelšana</t>
  </si>
  <si>
    <t>Linu celšana statiņos</t>
  </si>
  <si>
    <t>Linu novākšana ar rulonpresi</t>
  </si>
  <si>
    <t>Linu siešana kūļos</t>
  </si>
  <si>
    <t>Iekraušana</t>
  </si>
  <si>
    <t>Transports</t>
  </si>
  <si>
    <t>tkm</t>
  </si>
  <si>
    <t>Linsēklu transportēšana</t>
  </si>
  <si>
    <t>Pārbraucienu izmaksas</t>
  </si>
  <si>
    <t>Mainīgās izmaksas kopā</t>
  </si>
  <si>
    <t>Amortizācija</t>
  </si>
  <si>
    <t>Administratīvās izmaksas</t>
  </si>
  <si>
    <t>Patstāvīgās izmaksas kopā</t>
  </si>
  <si>
    <t>IZMAKSAS KOPĀ</t>
  </si>
  <si>
    <t>IENĀKUMI</t>
  </si>
  <si>
    <t>Linu stiebriņi</t>
  </si>
  <si>
    <t>Linsēklas</t>
  </si>
  <si>
    <t>Subsīdijas</t>
  </si>
  <si>
    <t>Ls/t</t>
  </si>
  <si>
    <t>PEĻŅA - ZAUDĒJUMS</t>
  </si>
  <si>
    <t>RENTABILITĀTE</t>
  </si>
  <si>
    <t>AR SUBSĪDIJĀM</t>
  </si>
  <si>
    <t>RENTABILITĀTE AR SUBSĪDIJĀM</t>
  </si>
  <si>
    <t>Tehnikas nosaukums</t>
  </si>
  <si>
    <t>Bilances vērtība gada sākumā</t>
  </si>
  <si>
    <t>Amortizācija vienā stundā</t>
  </si>
  <si>
    <t>Darba stundas gadā</t>
  </si>
  <si>
    <t>Bilances vērtība gada beigās</t>
  </si>
  <si>
    <t xml:space="preserve"> %</t>
  </si>
  <si>
    <t>Ls</t>
  </si>
  <si>
    <t>Traktori:</t>
  </si>
  <si>
    <t>Jeņisej-1200</t>
  </si>
  <si>
    <t>Pārējā tehnika:</t>
  </si>
  <si>
    <t>OPŠ-2000</t>
  </si>
  <si>
    <t>PKL-3-35</t>
  </si>
  <si>
    <t>PKL-5-35</t>
  </si>
  <si>
    <t>KPS-4</t>
  </si>
  <si>
    <t>KPS-6</t>
  </si>
  <si>
    <t>MRČ-0,5</t>
  </si>
  <si>
    <t>SZS-3,6</t>
  </si>
  <si>
    <t>SK-4A</t>
  </si>
  <si>
    <t>PR-1,6</t>
  </si>
  <si>
    <t>Veltņi</t>
  </si>
  <si>
    <t>Piekabe</t>
  </si>
  <si>
    <t>Amortizācija liniem</t>
  </si>
  <si>
    <t>Migl</t>
  </si>
  <si>
    <t>Lobīš</t>
  </si>
  <si>
    <t>Aršana</t>
  </si>
  <si>
    <t>Kultivēš</t>
  </si>
  <si>
    <t>Minm. Izkl</t>
  </si>
  <si>
    <t>Akm. Novākš</t>
  </si>
  <si>
    <t>Kult.+ecēš.</t>
  </si>
  <si>
    <t>Pievelš.</t>
  </si>
  <si>
    <t>Sēja</t>
  </si>
  <si>
    <t>Novākš.</t>
  </si>
  <si>
    <t>Linu grozīšana</t>
  </si>
  <si>
    <t>Linu presēšana</t>
  </si>
  <si>
    <t>Transportēšana</t>
  </si>
  <si>
    <t>Kopā</t>
  </si>
  <si>
    <t>RAŽĪBA</t>
  </si>
  <si>
    <t xml:space="preserve">IEŅĒMUMI </t>
  </si>
  <si>
    <t>MAINĪGĀS IZMAKSAS</t>
  </si>
  <si>
    <t>Sēklas</t>
  </si>
  <si>
    <t>Mēslojums</t>
  </si>
  <si>
    <t>Augu aizsardzības līdzekļi</t>
  </si>
  <si>
    <t>Roku darbs</t>
  </si>
  <si>
    <t>Mašīndarbs</t>
  </si>
  <si>
    <t>Citas mainīgās izmaksas</t>
  </si>
  <si>
    <t>FIKSĒTĀS IZMAKSAS</t>
  </si>
  <si>
    <t>Darba alga + soc. nod</t>
  </si>
  <si>
    <t>Zemes nodoklis</t>
  </si>
  <si>
    <t>Vispārsaimn. izmaksas</t>
  </si>
  <si>
    <t>KOPĀ IZMAKSAS</t>
  </si>
  <si>
    <t>SUBSĪDIJAS</t>
  </si>
  <si>
    <t>PEĻŅA</t>
  </si>
  <si>
    <t>RAŽĪBA t/ha</t>
  </si>
  <si>
    <t>Roku un mašīndarbs</t>
  </si>
  <si>
    <t>PEĻŅA AR SUBSĪDIJĀM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</si>
</sst>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RimTimes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u/>
      <sz val="12.5"/>
      <name val="Times New Roman"/>
      <family val="1"/>
      <charset val="186"/>
    </font>
    <font>
      <b/>
      <u/>
      <sz val="13"/>
      <name val="Times New Roman"/>
      <family val="1"/>
      <charset val="186"/>
    </font>
    <font>
      <b/>
      <sz val="12.5"/>
      <name val="Times New Roman"/>
      <family val="1"/>
      <charset val="186"/>
    </font>
    <font>
      <sz val="12.5"/>
      <name val="Times New Roman"/>
      <family val="1"/>
      <charset val="186"/>
    </font>
    <font>
      <b/>
      <sz val="10"/>
      <name val="Letterica Baltic"/>
      <charset val="186"/>
    </font>
    <font>
      <i/>
      <sz val="10"/>
      <name val="Letterica Baltic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6" xfId="0" applyFont="1" applyFill="1" applyBorder="1"/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4" borderId="18" xfId="0" applyFont="1" applyFill="1" applyBorder="1"/>
    <xf numFmtId="0" fontId="5" fillId="4" borderId="19" xfId="0" applyFont="1" applyFill="1" applyBorder="1" applyAlignment="1">
      <alignment horizontal="center"/>
    </xf>
    <xf numFmtId="2" fontId="5" fillId="4" borderId="20" xfId="0" applyNumberFormat="1" applyFont="1" applyFill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6" fillId="0" borderId="23" xfId="0" applyFont="1" applyBorder="1"/>
    <xf numFmtId="2" fontId="6" fillId="0" borderId="8" xfId="0" applyNumberFormat="1" applyFont="1" applyBorder="1" applyAlignment="1">
      <alignment horizontal="center"/>
    </xf>
    <xf numFmtId="0" fontId="3" fillId="0" borderId="24" xfId="0" applyFont="1" applyBorder="1"/>
    <xf numFmtId="0" fontId="2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4" borderId="21" xfId="0" applyFont="1" applyFill="1" applyBorder="1"/>
    <xf numFmtId="0" fontId="8" fillId="4" borderId="22" xfId="0" applyFont="1" applyFill="1" applyBorder="1" applyAlignment="1">
      <alignment horizontal="center"/>
    </xf>
    <xf numFmtId="2" fontId="8" fillId="4" borderId="23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3" fillId="5" borderId="27" xfId="0" applyFont="1" applyFill="1" applyBorder="1"/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3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9" fillId="4" borderId="18" xfId="0" applyFont="1" applyFill="1" applyBorder="1"/>
    <xf numFmtId="0" fontId="10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3" fillId="0" borderId="30" xfId="0" applyFont="1" applyBorder="1"/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6" borderId="33" xfId="0" applyFont="1" applyFill="1" applyBorder="1"/>
    <xf numFmtId="0" fontId="3" fillId="6" borderId="34" xfId="0" applyFont="1" applyFill="1" applyBorder="1" applyAlignment="1">
      <alignment horizontal="center"/>
    </xf>
    <xf numFmtId="2" fontId="3" fillId="6" borderId="35" xfId="0" applyNumberFormat="1" applyFont="1" applyFill="1" applyBorder="1" applyAlignment="1">
      <alignment horizontal="center"/>
    </xf>
    <xf numFmtId="0" fontId="3" fillId="6" borderId="36" xfId="0" applyFont="1" applyFill="1" applyBorder="1"/>
    <xf numFmtId="0" fontId="3" fillId="6" borderId="37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3" fillId="6" borderId="39" xfId="0" applyFont="1" applyFill="1" applyBorder="1"/>
    <xf numFmtId="0" fontId="3" fillId="6" borderId="40" xfId="0" applyFont="1" applyFill="1" applyBorder="1" applyAlignment="1">
      <alignment horizontal="center"/>
    </xf>
    <xf numFmtId="2" fontId="3" fillId="6" borderId="41" xfId="0" applyNumberFormat="1" applyFont="1" applyFill="1" applyBorder="1" applyAlignment="1">
      <alignment horizontal="center"/>
    </xf>
    <xf numFmtId="0" fontId="3" fillId="6" borderId="42" xfId="0" applyFont="1" applyFill="1" applyBorder="1" applyAlignment="1">
      <alignment vertical="center" wrapText="1"/>
    </xf>
    <xf numFmtId="0" fontId="3" fillId="6" borderId="43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Continuous" vertical="center" wrapText="1"/>
    </xf>
    <xf numFmtId="0" fontId="3" fillId="4" borderId="46" xfId="0" applyFont="1" applyFill="1" applyBorder="1" applyAlignment="1">
      <alignment horizontal="centerContinuous" vertical="center" wrapText="1"/>
    </xf>
    <xf numFmtId="0" fontId="3" fillId="4" borderId="2" xfId="0" applyFont="1" applyFill="1" applyBorder="1" applyAlignment="1">
      <alignment horizontal="centerContinuous" vertical="center" wrapText="1"/>
    </xf>
    <xf numFmtId="0" fontId="3" fillId="4" borderId="47" xfId="0" applyFont="1" applyFill="1" applyBorder="1" applyAlignment="1">
      <alignment horizontal="centerContinuous" vertical="center" wrapText="1"/>
    </xf>
    <xf numFmtId="0" fontId="3" fillId="4" borderId="15" xfId="0" applyFont="1" applyFill="1" applyBorder="1" applyAlignment="1">
      <alignment horizontal="centerContinuous" vertical="center" wrapText="1"/>
    </xf>
    <xf numFmtId="0" fontId="3" fillId="4" borderId="16" xfId="0" applyFont="1" applyFill="1" applyBorder="1" applyAlignment="1">
      <alignment horizontal="centerContinuous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Continuous" vertical="center" wrapText="1"/>
    </xf>
    <xf numFmtId="0" fontId="3" fillId="0" borderId="48" xfId="0" applyFont="1" applyBorder="1"/>
    <xf numFmtId="0" fontId="2" fillId="0" borderId="49" xfId="0" applyFont="1" applyBorder="1"/>
    <xf numFmtId="0" fontId="2" fillId="2" borderId="49" xfId="0" applyFont="1" applyFill="1" applyBorder="1"/>
    <xf numFmtId="0" fontId="2" fillId="0" borderId="50" xfId="0" applyFont="1" applyBorder="1"/>
    <xf numFmtId="0" fontId="2" fillId="0" borderId="6" xfId="0" applyFont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6" fillId="0" borderId="9" xfId="0" applyFont="1" applyBorder="1" applyAlignment="1">
      <alignment horizontal="left"/>
    </xf>
    <xf numFmtId="2" fontId="6" fillId="0" borderId="11" xfId="0" applyNumberFormat="1" applyFont="1" applyBorder="1" applyAlignment="1">
      <alignment horizontal="center"/>
    </xf>
    <xf numFmtId="0" fontId="0" fillId="0" borderId="7" xfId="0" applyBorder="1"/>
    <xf numFmtId="0" fontId="0" fillId="4" borderId="0" xfId="0" applyFill="1"/>
    <xf numFmtId="0" fontId="0" fillId="7" borderId="7" xfId="0" applyFill="1" applyBorder="1"/>
    <xf numFmtId="0" fontId="11" fillId="8" borderId="7" xfId="0" applyFont="1" applyFill="1" applyBorder="1"/>
    <xf numFmtId="0" fontId="0" fillId="9" borderId="7" xfId="0" applyFill="1" applyBorder="1"/>
    <xf numFmtId="0" fontId="12" fillId="10" borderId="7" xfId="0" applyFont="1" applyFill="1" applyBorder="1"/>
    <xf numFmtId="0" fontId="0" fillId="11" borderId="7" xfId="0" applyFill="1" applyBorder="1"/>
    <xf numFmtId="0" fontId="11" fillId="12" borderId="7" xfId="0" applyFont="1" applyFill="1" applyBorder="1"/>
    <xf numFmtId="0" fontId="0" fillId="4" borderId="0" xfId="0" applyFill="1" applyAlignment="1">
      <alignment horizontal="centerContinuous"/>
    </xf>
    <xf numFmtId="0" fontId="0" fillId="4" borderId="7" xfId="0" applyFill="1" applyBorder="1" applyAlignment="1">
      <alignment horizontal="centerContinuous"/>
    </xf>
    <xf numFmtId="2" fontId="0" fillId="0" borderId="7" xfId="0" applyNumberFormat="1" applyBorder="1"/>
    <xf numFmtId="0" fontId="12" fillId="13" borderId="7" xfId="0" applyFont="1" applyFill="1" applyBorder="1"/>
    <xf numFmtId="0" fontId="0" fillId="0" borderId="0" xfId="0" applyBorder="1"/>
    <xf numFmtId="2" fontId="0" fillId="0" borderId="0" xfId="0" applyNumberFormat="1" applyBorder="1"/>
    <xf numFmtId="0" fontId="0" fillId="14" borderId="7" xfId="0" applyFill="1" applyBorder="1"/>
    <xf numFmtId="0" fontId="0" fillId="15" borderId="7" xfId="0" applyFill="1" applyBorder="1"/>
    <xf numFmtId="0" fontId="0" fillId="16" borderId="7" xfId="0" applyFill="1" applyBorder="1"/>
    <xf numFmtId="0" fontId="0" fillId="0" borderId="0" xfId="0" applyBorder="1" applyAlignment="1">
      <alignment horizontal="centerContinuous"/>
    </xf>
    <xf numFmtId="2" fontId="0" fillId="0" borderId="0" xfId="0" applyNumberFormat="1" applyBorder="1" applyAlignment="1">
      <alignment horizontal="centerContinuous"/>
    </xf>
    <xf numFmtId="1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opibas%20ekon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2"/>
      <sheetName val="Chart3"/>
      <sheetName val="Chart4"/>
      <sheetName val="Chart5"/>
      <sheetName val="Chart6"/>
      <sheetName val="SĀKUMS"/>
      <sheetName val="CENAS"/>
      <sheetName val="BUDGETS"/>
      <sheetName val="PEĻŅA-ZAUD"/>
      <sheetName val="Saimniecības budžets"/>
      <sheetName val="Pamatlīdzekļ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E8">
            <v>0.4</v>
          </cell>
          <cell r="J8">
            <v>420</v>
          </cell>
        </row>
        <row r="9">
          <cell r="E9">
            <v>0.33</v>
          </cell>
          <cell r="J9">
            <v>58.33</v>
          </cell>
        </row>
        <row r="10">
          <cell r="E10">
            <v>0.87</v>
          </cell>
          <cell r="J10">
            <v>304.35000000000002</v>
          </cell>
        </row>
        <row r="11">
          <cell r="E11">
            <v>1.76</v>
          </cell>
          <cell r="J11">
            <v>617.65</v>
          </cell>
        </row>
        <row r="13">
          <cell r="J13">
            <v>10</v>
          </cell>
        </row>
        <row r="15">
          <cell r="E15">
            <v>0.04</v>
          </cell>
          <cell r="J15">
            <v>19</v>
          </cell>
        </row>
        <row r="16">
          <cell r="E16">
            <v>4.12</v>
          </cell>
        </row>
        <row r="17">
          <cell r="E17">
            <v>0.59</v>
          </cell>
        </row>
        <row r="23">
          <cell r="E23">
            <v>0.45</v>
          </cell>
          <cell r="J23">
            <v>111.36</v>
          </cell>
        </row>
        <row r="24">
          <cell r="E24">
            <v>0.83</v>
          </cell>
          <cell r="J24">
            <v>291.67</v>
          </cell>
        </row>
        <row r="25">
          <cell r="E25">
            <v>0.8</v>
          </cell>
        </row>
        <row r="28">
          <cell r="L28">
            <v>1962.32</v>
          </cell>
        </row>
        <row r="29">
          <cell r="E29">
            <v>0.89</v>
          </cell>
          <cell r="J29">
            <v>222.22</v>
          </cell>
          <cell r="L29">
            <v>527.53750000000002</v>
          </cell>
        </row>
        <row r="30">
          <cell r="L30">
            <v>474.55500000000001</v>
          </cell>
        </row>
        <row r="31">
          <cell r="J31">
            <v>750</v>
          </cell>
        </row>
        <row r="35">
          <cell r="E35">
            <v>1</v>
          </cell>
          <cell r="J35">
            <v>100</v>
          </cell>
        </row>
        <row r="38">
          <cell r="E38">
            <v>0.6</v>
          </cell>
          <cell r="J38">
            <v>15</v>
          </cell>
        </row>
        <row r="39">
          <cell r="E39">
            <v>0.14000000000000001</v>
          </cell>
          <cell r="J39">
            <v>23.33</v>
          </cell>
        </row>
      </sheetData>
      <sheetData sheetId="11">
        <row r="10">
          <cell r="E10">
            <v>0.108</v>
          </cell>
        </row>
        <row r="13">
          <cell r="F13">
            <v>205.88333333333333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zoomScale="75" workbookViewId="0">
      <pane xSplit="1" ySplit="5" topLeftCell="B28" activePane="bottomRight" state="frozen"/>
      <selection pane="topRight" activeCell="B1" sqref="B1"/>
      <selection pane="bottomLeft" activeCell="A6" sqref="A6"/>
      <selection pane="bottomRight" activeCell="E32" sqref="E32"/>
    </sheetView>
  </sheetViews>
  <sheetFormatPr defaultRowHeight="15.6"/>
  <cols>
    <col min="1" max="1" width="34" style="2" customWidth="1"/>
    <col min="2" max="2" width="13" style="2" customWidth="1"/>
    <col min="3" max="3" width="14.6640625" style="2" customWidth="1"/>
    <col min="4" max="4" width="13.5546875" style="2" customWidth="1"/>
    <col min="5" max="5" width="13.6640625" style="2" customWidth="1"/>
    <col min="6" max="6" width="16" style="2" customWidth="1"/>
    <col min="7" max="7" width="8.88671875" style="2"/>
    <col min="8" max="8" width="15.5546875" style="2" customWidth="1"/>
    <col min="9" max="14" width="9.109375" style="2" customWidth="1"/>
    <col min="15" max="41" width="8.88671875" style="2"/>
  </cols>
  <sheetData>
    <row r="1" spans="1:14" ht="17.399999999999999">
      <c r="A1" s="1" t="s">
        <v>0</v>
      </c>
      <c r="B1" s="1"/>
      <c r="C1" s="1"/>
      <c r="D1" s="1"/>
      <c r="E1" s="1"/>
      <c r="F1" s="1"/>
      <c r="G1" s="1"/>
      <c r="H1" s="1"/>
    </row>
    <row r="2" spans="1:14" ht="16.2" thickBot="1">
      <c r="A2" s="3"/>
      <c r="B2" s="3"/>
      <c r="C2" s="3"/>
      <c r="D2" s="3"/>
      <c r="E2" s="3"/>
      <c r="F2" s="3"/>
    </row>
    <row r="3" spans="1:14" ht="31.8" thickTop="1">
      <c r="A3" s="4" t="s">
        <v>1</v>
      </c>
      <c r="B3" s="5">
        <v>0.22</v>
      </c>
      <c r="C3" s="4" t="s">
        <v>2</v>
      </c>
      <c r="D3" s="5">
        <v>0.08</v>
      </c>
      <c r="E3" s="4" t="s">
        <v>3</v>
      </c>
      <c r="F3" s="6">
        <f>B3-D3</f>
        <v>0.14000000000000001</v>
      </c>
      <c r="I3" s="7">
        <f>F13*F3</f>
        <v>3.5000000000000004</v>
      </c>
    </row>
    <row r="4" spans="1:14" ht="16.2" thickBot="1">
      <c r="A4" s="8" t="s">
        <v>4</v>
      </c>
      <c r="B4" s="9">
        <v>63.5</v>
      </c>
      <c r="C4" s="8" t="s">
        <v>5</v>
      </c>
      <c r="D4" s="9">
        <v>176</v>
      </c>
      <c r="E4" s="8" t="s">
        <v>6</v>
      </c>
      <c r="F4" s="10">
        <f>ROUND(B4/D4,2)</f>
        <v>0.36</v>
      </c>
      <c r="G4" s="11"/>
      <c r="H4" s="11"/>
      <c r="I4" s="7">
        <f>E13*F4</f>
        <v>0.18</v>
      </c>
    </row>
    <row r="5" spans="1:14" ht="31.8" thickTop="1">
      <c r="A5" s="12"/>
      <c r="B5" s="13" t="s">
        <v>7</v>
      </c>
      <c r="C5" s="13" t="s">
        <v>8</v>
      </c>
      <c r="D5" s="13" t="s">
        <v>9</v>
      </c>
      <c r="E5" s="13" t="s">
        <v>10</v>
      </c>
      <c r="F5" s="13" t="s">
        <v>11</v>
      </c>
      <c r="G5" s="13" t="s">
        <v>12</v>
      </c>
      <c r="H5" s="14" t="s">
        <v>13</v>
      </c>
      <c r="I5" s="15"/>
      <c r="J5" s="7">
        <f>SUM(I3:I4)</f>
        <v>3.6800000000000006</v>
      </c>
      <c r="L5" s="16" t="s">
        <v>14</v>
      </c>
      <c r="M5" s="16" t="s">
        <v>15</v>
      </c>
      <c r="N5" s="16" t="s">
        <v>16</v>
      </c>
    </row>
    <row r="6" spans="1:14">
      <c r="A6" s="17" t="s">
        <v>17</v>
      </c>
      <c r="B6" s="18"/>
      <c r="C6" s="18"/>
      <c r="D6" s="18"/>
      <c r="E6" s="18"/>
      <c r="F6" s="18"/>
      <c r="G6" s="18"/>
      <c r="H6" s="19"/>
      <c r="J6" s="7">
        <f>J5/F13</f>
        <v>0.14720000000000003</v>
      </c>
      <c r="L6" s="2">
        <v>500</v>
      </c>
      <c r="M6" s="2">
        <v>350</v>
      </c>
      <c r="N6" s="2">
        <v>100</v>
      </c>
    </row>
    <row r="7" spans="1:14">
      <c r="A7" s="20" t="s">
        <v>18</v>
      </c>
      <c r="B7" s="21" t="s">
        <v>19</v>
      </c>
      <c r="C7" s="21">
        <v>3</v>
      </c>
      <c r="D7" s="21"/>
      <c r="E7" s="21"/>
      <c r="F7" s="21"/>
      <c r="G7" s="21">
        <v>10</v>
      </c>
      <c r="H7" s="22">
        <f>C7*G7</f>
        <v>30</v>
      </c>
    </row>
    <row r="8" spans="1:14">
      <c r="A8" s="20" t="s">
        <v>20</v>
      </c>
      <c r="B8" s="21" t="s">
        <v>21</v>
      </c>
      <c r="C8" s="21">
        <v>1</v>
      </c>
      <c r="D8" s="21">
        <v>2.5</v>
      </c>
      <c r="E8" s="21">
        <f>ROUND(C8/D8,2)</f>
        <v>0.4</v>
      </c>
      <c r="F8" s="21">
        <v>7</v>
      </c>
      <c r="G8" s="21"/>
      <c r="H8" s="23">
        <f t="shared" ref="H8:H11" si="0">(F8*$F$3)+(E8*$F$4)</f>
        <v>1.1240000000000001</v>
      </c>
      <c r="J8" s="24">
        <f>ROUND(($M$6/D8)*3,2)</f>
        <v>420</v>
      </c>
    </row>
    <row r="9" spans="1:14">
      <c r="A9" s="20" t="s">
        <v>22</v>
      </c>
      <c r="B9" s="21" t="s">
        <v>21</v>
      </c>
      <c r="C9" s="21">
        <v>1</v>
      </c>
      <c r="D9" s="21">
        <v>3</v>
      </c>
      <c r="E9" s="21">
        <f t="shared" ref="E9:E17" si="1">ROUND(C9/D9,2)</f>
        <v>0.33</v>
      </c>
      <c r="F9" s="21">
        <v>10</v>
      </c>
      <c r="G9" s="21"/>
      <c r="H9" s="23">
        <f t="shared" si="0"/>
        <v>1.5188000000000001</v>
      </c>
      <c r="J9" s="24">
        <f>ROUND(($M$6/D9)*0.5,2)</f>
        <v>58.33</v>
      </c>
    </row>
    <row r="10" spans="1:14">
      <c r="A10" s="20" t="s">
        <v>23</v>
      </c>
      <c r="B10" s="21" t="s">
        <v>21</v>
      </c>
      <c r="C10" s="21">
        <v>1</v>
      </c>
      <c r="D10" s="21">
        <v>1.1499999999999999</v>
      </c>
      <c r="E10" s="21">
        <f t="shared" si="1"/>
        <v>0.87</v>
      </c>
      <c r="F10" s="21">
        <v>20</v>
      </c>
      <c r="G10" s="21"/>
      <c r="H10" s="23">
        <f t="shared" si="0"/>
        <v>3.1132000000000004</v>
      </c>
      <c r="J10" s="2">
        <f>ROUND(($M$6/D10),2)</f>
        <v>304.35000000000002</v>
      </c>
    </row>
    <row r="11" spans="1:14">
      <c r="A11" s="20" t="s">
        <v>24</v>
      </c>
      <c r="B11" s="21" t="s">
        <v>21</v>
      </c>
      <c r="C11" s="21">
        <v>3</v>
      </c>
      <c r="D11" s="21">
        <v>1.7</v>
      </c>
      <c r="E11" s="21">
        <f t="shared" si="1"/>
        <v>1.76</v>
      </c>
      <c r="F11" s="21">
        <v>23</v>
      </c>
      <c r="G11" s="21"/>
      <c r="H11" s="23">
        <f t="shared" si="0"/>
        <v>3.8536000000000001</v>
      </c>
      <c r="J11" s="24">
        <f>ROUND(($M$6/D11)*3,2)</f>
        <v>617.65</v>
      </c>
    </row>
    <row r="12" spans="1:14">
      <c r="A12" s="20" t="s">
        <v>25</v>
      </c>
      <c r="B12" s="21" t="s">
        <v>26</v>
      </c>
      <c r="C12" s="21">
        <v>0.35</v>
      </c>
      <c r="D12" s="21"/>
      <c r="E12" s="21"/>
      <c r="F12" s="21"/>
      <c r="G12" s="21">
        <v>87</v>
      </c>
      <c r="H12" s="22">
        <f>G12*C12</f>
        <v>30.45</v>
      </c>
    </row>
    <row r="13" spans="1:14">
      <c r="A13" s="20" t="s">
        <v>27</v>
      </c>
      <c r="B13" s="21" t="s">
        <v>26</v>
      </c>
      <c r="C13" s="21">
        <v>25</v>
      </c>
      <c r="D13" s="21">
        <v>50</v>
      </c>
      <c r="E13" s="21">
        <f t="shared" si="1"/>
        <v>0.5</v>
      </c>
      <c r="F13" s="21">
        <v>25</v>
      </c>
      <c r="G13" s="21"/>
      <c r="H13" s="23">
        <f>J6*C12</f>
        <v>5.1520000000000003E-2</v>
      </c>
      <c r="J13" s="2">
        <v>10</v>
      </c>
    </row>
    <row r="14" spans="1:14">
      <c r="A14" s="20" t="s">
        <v>28</v>
      </c>
      <c r="B14" s="21" t="s">
        <v>29</v>
      </c>
      <c r="C14" s="21">
        <v>0.25</v>
      </c>
      <c r="D14" s="21"/>
      <c r="E14" s="21"/>
      <c r="F14" s="21"/>
      <c r="G14" s="21"/>
      <c r="H14" s="23">
        <f t="shared" ref="H14:H17" si="2">(F14*$F$3)+(E14*$F$4)</f>
        <v>0</v>
      </c>
    </row>
    <row r="15" spans="1:14">
      <c r="A15" s="20" t="s">
        <v>30</v>
      </c>
      <c r="B15" s="21" t="s">
        <v>21</v>
      </c>
      <c r="C15" s="21">
        <v>1</v>
      </c>
      <c r="D15" s="21">
        <v>25</v>
      </c>
      <c r="E15" s="21">
        <f t="shared" si="1"/>
        <v>0.04</v>
      </c>
      <c r="F15" s="21">
        <v>7</v>
      </c>
      <c r="G15" s="21"/>
      <c r="H15" s="23">
        <f t="shared" si="2"/>
        <v>0.99440000000000006</v>
      </c>
      <c r="J15" s="2">
        <f>ROUND(($L$6/D15)*0.95,2)</f>
        <v>19</v>
      </c>
    </row>
    <row r="16" spans="1:14">
      <c r="A16" s="20" t="s">
        <v>31</v>
      </c>
      <c r="B16" s="21" t="s">
        <v>29</v>
      </c>
      <c r="C16" s="21">
        <v>7</v>
      </c>
      <c r="D16" s="21">
        <v>1.7</v>
      </c>
      <c r="E16" s="21">
        <f t="shared" si="1"/>
        <v>4.12</v>
      </c>
      <c r="F16" s="21">
        <v>7</v>
      </c>
      <c r="G16" s="21"/>
      <c r="H16" s="23">
        <f t="shared" si="2"/>
        <v>2.4632000000000001</v>
      </c>
      <c r="J16" s="24">
        <f>ROUND(($M$6/D16)*0.7,2)</f>
        <v>144.12</v>
      </c>
    </row>
    <row r="17" spans="1:12">
      <c r="A17" s="20" t="s">
        <v>32</v>
      </c>
      <c r="B17" s="21" t="s">
        <v>21</v>
      </c>
      <c r="C17" s="21">
        <v>1</v>
      </c>
      <c r="D17" s="21">
        <v>1.7</v>
      </c>
      <c r="E17" s="21">
        <f t="shared" si="1"/>
        <v>0.59</v>
      </c>
      <c r="F17" s="21">
        <v>20</v>
      </c>
      <c r="G17" s="21"/>
      <c r="H17" s="23">
        <f t="shared" si="2"/>
        <v>3.0124000000000004</v>
      </c>
    </row>
    <row r="18" spans="1:12" ht="16.2" thickBot="1">
      <c r="A18" s="25" t="s">
        <v>33</v>
      </c>
      <c r="B18" s="26" t="s">
        <v>34</v>
      </c>
      <c r="C18" s="26" t="s">
        <v>34</v>
      </c>
      <c r="D18" s="26" t="s">
        <v>34</v>
      </c>
      <c r="E18" s="26">
        <f t="shared" ref="E18:F18" si="3">SUM(E7:E17)</f>
        <v>8.61</v>
      </c>
      <c r="F18" s="26">
        <f t="shared" si="3"/>
        <v>119</v>
      </c>
      <c r="G18" s="26" t="s">
        <v>34</v>
      </c>
      <c r="H18" s="27">
        <f>SUM(H7:H17)</f>
        <v>76.581119999999999</v>
      </c>
    </row>
    <row r="19" spans="1:12" ht="16.2" thickTop="1">
      <c r="A19" s="28" t="s">
        <v>35</v>
      </c>
      <c r="B19" s="29"/>
      <c r="C19" s="29"/>
      <c r="D19" s="29"/>
      <c r="E19" s="29"/>
      <c r="F19" s="29"/>
      <c r="G19" s="29"/>
      <c r="H19" s="30"/>
    </row>
    <row r="20" spans="1:12">
      <c r="A20" s="20" t="s">
        <v>36</v>
      </c>
      <c r="B20" s="21" t="s">
        <v>26</v>
      </c>
      <c r="C20" s="21">
        <v>0.13</v>
      </c>
      <c r="D20" s="21"/>
      <c r="E20" s="21"/>
      <c r="F20" s="21"/>
      <c r="G20" s="21">
        <v>180</v>
      </c>
      <c r="H20" s="22">
        <f>C20*G20</f>
        <v>23.400000000000002</v>
      </c>
    </row>
    <row r="21" spans="1:12">
      <c r="A21" s="20" t="s">
        <v>37</v>
      </c>
      <c r="B21" s="21" t="s">
        <v>26</v>
      </c>
      <c r="C21" s="21">
        <v>0.11</v>
      </c>
      <c r="D21" s="21">
        <v>1</v>
      </c>
      <c r="E21" s="21">
        <f>ROUND(C21/D21,2)</f>
        <v>0.11</v>
      </c>
      <c r="F21" s="21"/>
      <c r="G21" s="21">
        <v>0.8</v>
      </c>
      <c r="H21" s="22">
        <f>ROUND(E21*F4+G21,2)</f>
        <v>0.84</v>
      </c>
    </row>
    <row r="22" spans="1:12">
      <c r="A22" s="20" t="s">
        <v>38</v>
      </c>
      <c r="B22" s="21" t="s">
        <v>39</v>
      </c>
      <c r="C22" s="21">
        <v>3.5000000000000003E-2</v>
      </c>
      <c r="D22" s="21"/>
      <c r="E22" s="21"/>
      <c r="F22" s="21"/>
      <c r="G22" s="21">
        <v>25</v>
      </c>
      <c r="H22" s="22">
        <f>ROUND(C21*C22*G22,2)</f>
        <v>0.1</v>
      </c>
    </row>
    <row r="23" spans="1:12">
      <c r="A23" s="20" t="s">
        <v>40</v>
      </c>
      <c r="B23" s="21" t="s">
        <v>21</v>
      </c>
      <c r="C23" s="21">
        <v>1</v>
      </c>
      <c r="D23" s="21">
        <v>2.2000000000000002</v>
      </c>
      <c r="E23" s="21">
        <f t="shared" ref="E23:E25" si="4">ROUND(C23/D23,2)</f>
        <v>0.45</v>
      </c>
      <c r="F23" s="21">
        <v>7</v>
      </c>
      <c r="G23" s="21"/>
      <c r="H23" s="22">
        <f t="shared" ref="H23:H25" si="5">ROUND((F23*$F$3)+(E23*$F$4),2)</f>
        <v>1.1399999999999999</v>
      </c>
      <c r="J23" s="2">
        <f>ROUND(($M$6/D23)*0.7,2)</f>
        <v>111.36</v>
      </c>
    </row>
    <row r="24" spans="1:12">
      <c r="A24" s="20" t="s">
        <v>41</v>
      </c>
      <c r="B24" s="21" t="s">
        <v>21</v>
      </c>
      <c r="C24" s="21">
        <v>1</v>
      </c>
      <c r="D24" s="21">
        <v>1.2</v>
      </c>
      <c r="E24" s="21">
        <f t="shared" si="4"/>
        <v>0.83</v>
      </c>
      <c r="F24" s="21">
        <v>7</v>
      </c>
      <c r="G24" s="21"/>
      <c r="H24" s="22">
        <f t="shared" si="5"/>
        <v>1.28</v>
      </c>
      <c r="J24" s="2">
        <f>ROUND(($M$6/D24),2)</f>
        <v>291.67</v>
      </c>
    </row>
    <row r="25" spans="1:12">
      <c r="A25" s="20" t="s">
        <v>42</v>
      </c>
      <c r="B25" s="21" t="s">
        <v>21</v>
      </c>
      <c r="C25" s="21">
        <v>1</v>
      </c>
      <c r="D25" s="21">
        <v>2.5</v>
      </c>
      <c r="E25" s="21">
        <f t="shared" si="4"/>
        <v>0.4</v>
      </c>
      <c r="F25" s="21">
        <v>14</v>
      </c>
      <c r="G25" s="21"/>
      <c r="H25" s="22">
        <f t="shared" si="5"/>
        <v>2.1</v>
      </c>
    </row>
    <row r="26" spans="1:12">
      <c r="A26" s="20" t="s">
        <v>43</v>
      </c>
      <c r="B26" s="21" t="s">
        <v>44</v>
      </c>
      <c r="C26" s="21">
        <v>1</v>
      </c>
      <c r="D26" s="21"/>
      <c r="E26" s="21"/>
      <c r="F26" s="21"/>
      <c r="G26" s="21"/>
      <c r="H26" s="22">
        <v>35</v>
      </c>
    </row>
    <row r="27" spans="1:12" ht="16.2" thickBot="1">
      <c r="A27" s="25" t="s">
        <v>33</v>
      </c>
      <c r="B27" s="31"/>
      <c r="C27" s="31"/>
      <c r="D27" s="26"/>
      <c r="E27" s="26">
        <f t="shared" ref="E27:F27" si="6">SUM(E20:E26)</f>
        <v>1.79</v>
      </c>
      <c r="F27" s="26">
        <f t="shared" si="6"/>
        <v>28</v>
      </c>
      <c r="G27" s="26"/>
      <c r="H27" s="32">
        <f>SUM(H20:H26)</f>
        <v>63.860000000000007</v>
      </c>
    </row>
    <row r="28" spans="1:12" ht="16.2" thickTop="1">
      <c r="A28" s="28" t="s">
        <v>45</v>
      </c>
      <c r="B28" s="29"/>
      <c r="C28" s="29"/>
      <c r="D28" s="29"/>
      <c r="E28" s="29"/>
      <c r="F28" s="29"/>
      <c r="G28" s="29"/>
      <c r="H28" s="30"/>
      <c r="J28" s="2">
        <f>SUM(J8:J24,J31)</f>
        <v>2726.4799999999996</v>
      </c>
      <c r="K28" s="2" t="s">
        <v>46</v>
      </c>
      <c r="L28" s="2">
        <f>SUM(J8:J9,J11,J16,J29,J30,J32:J33,J35)</f>
        <v>1862.32</v>
      </c>
    </row>
    <row r="29" spans="1:12" ht="31.2">
      <c r="A29" s="33" t="s">
        <v>47</v>
      </c>
      <c r="B29" s="34" t="s">
        <v>21</v>
      </c>
      <c r="C29" s="34">
        <v>1</v>
      </c>
      <c r="D29" s="34">
        <v>0.45</v>
      </c>
      <c r="E29" s="34">
        <f t="shared" ref="E29:E38" si="7">ROUND(C29/D29,2)</f>
        <v>2.2200000000000002</v>
      </c>
      <c r="F29" s="34">
        <v>21</v>
      </c>
      <c r="G29" s="34"/>
      <c r="H29" s="35">
        <f t="shared" ref="H29:H38" si="8">ROUND((F29*$F$3)+(E29*$F$4),2)</f>
        <v>3.74</v>
      </c>
      <c r="J29" s="36">
        <f>ROUND(($N$6/D29),2)</f>
        <v>222.22</v>
      </c>
      <c r="K29" s="2" t="s">
        <v>48</v>
      </c>
      <c r="L29" s="2">
        <f>SUM(J15,J23:J24,K32)</f>
        <v>527.53750000000002</v>
      </c>
    </row>
    <row r="30" spans="1:12">
      <c r="A30" s="20" t="s">
        <v>49</v>
      </c>
      <c r="B30" s="34" t="s">
        <v>26</v>
      </c>
      <c r="C30" s="21">
        <v>0.5</v>
      </c>
      <c r="D30" s="21">
        <v>5</v>
      </c>
      <c r="E30" s="34">
        <f t="shared" si="7"/>
        <v>0.1</v>
      </c>
      <c r="F30" s="21">
        <v>7</v>
      </c>
      <c r="G30" s="21"/>
      <c r="H30" s="35">
        <f t="shared" si="8"/>
        <v>1.02</v>
      </c>
      <c r="K30" s="2" t="s">
        <v>50</v>
      </c>
      <c r="L30" s="2">
        <f>SUM(J10,J13,J38:J39,J40)</f>
        <v>488.22500000000002</v>
      </c>
    </row>
    <row r="31" spans="1:12">
      <c r="A31" s="20" t="s">
        <v>51</v>
      </c>
      <c r="B31" s="34" t="s">
        <v>21</v>
      </c>
      <c r="C31" s="21">
        <v>1</v>
      </c>
      <c r="D31" s="21">
        <v>0.5</v>
      </c>
      <c r="E31" s="34">
        <f t="shared" si="7"/>
        <v>2</v>
      </c>
      <c r="F31" s="21">
        <v>25</v>
      </c>
      <c r="G31" s="21"/>
      <c r="H31" s="35">
        <f t="shared" si="8"/>
        <v>4.22</v>
      </c>
      <c r="J31" s="37">
        <f>ROUND(($L$6/D31)*0.75,2)</f>
        <v>750</v>
      </c>
    </row>
    <row r="32" spans="1:12">
      <c r="A32" s="20" t="s">
        <v>52</v>
      </c>
      <c r="B32" s="34" t="s">
        <v>21</v>
      </c>
      <c r="C32" s="21">
        <v>0.5</v>
      </c>
      <c r="D32" s="21">
        <v>0.5</v>
      </c>
      <c r="E32" s="34">
        <f t="shared" si="7"/>
        <v>1</v>
      </c>
      <c r="F32" s="21">
        <v>7</v>
      </c>
      <c r="G32" s="21"/>
      <c r="H32" s="35">
        <f t="shared" si="8"/>
        <v>1.34</v>
      </c>
      <c r="J32" s="38">
        <f t="shared" ref="J32:J33" si="9">ROUND(($N$6/D32),2)</f>
        <v>200</v>
      </c>
      <c r="K32" s="2">
        <f>L32*25%</f>
        <v>105.50749999999999</v>
      </c>
      <c r="L32" s="2">
        <v>422.03</v>
      </c>
    </row>
    <row r="33" spans="1:11">
      <c r="A33" s="20" t="s">
        <v>53</v>
      </c>
      <c r="B33" s="34" t="s">
        <v>21</v>
      </c>
      <c r="C33" s="21">
        <v>0.5</v>
      </c>
      <c r="D33" s="21">
        <v>0.5</v>
      </c>
      <c r="E33" s="34">
        <f t="shared" si="7"/>
        <v>1</v>
      </c>
      <c r="F33" s="21">
        <v>7</v>
      </c>
      <c r="G33" s="21"/>
      <c r="H33" s="35">
        <f t="shared" si="8"/>
        <v>1.34</v>
      </c>
      <c r="J33" s="38">
        <f t="shared" si="9"/>
        <v>200</v>
      </c>
    </row>
    <row r="34" spans="1:11">
      <c r="A34" s="20" t="s">
        <v>54</v>
      </c>
      <c r="B34" s="21" t="s">
        <v>21</v>
      </c>
      <c r="C34" s="21">
        <v>0</v>
      </c>
      <c r="D34" s="21">
        <v>2.5000000000000001E-2</v>
      </c>
      <c r="E34" s="34">
        <f>ROUND(C34/D34,2)</f>
        <v>0</v>
      </c>
      <c r="F34" s="21"/>
      <c r="G34" s="21"/>
      <c r="H34" s="35">
        <f t="shared" si="8"/>
        <v>0</v>
      </c>
    </row>
    <row r="35" spans="1:11">
      <c r="A35" s="20" t="s">
        <v>55</v>
      </c>
      <c r="B35" s="21" t="s">
        <v>21</v>
      </c>
      <c r="C35" s="21">
        <v>0</v>
      </c>
      <c r="D35" s="21">
        <v>0.8</v>
      </c>
      <c r="E35" s="34">
        <f t="shared" si="7"/>
        <v>0</v>
      </c>
      <c r="F35" s="21">
        <v>20</v>
      </c>
      <c r="G35" s="21"/>
      <c r="H35" s="35">
        <f t="shared" si="8"/>
        <v>2.8</v>
      </c>
      <c r="J35" s="38">
        <f>ROUND(($N$6/D35)*C35,2)</f>
        <v>0</v>
      </c>
    </row>
    <row r="36" spans="1:11">
      <c r="A36" s="20" t="s">
        <v>56</v>
      </c>
      <c r="B36" s="21" t="s">
        <v>21</v>
      </c>
      <c r="C36" s="21">
        <v>1</v>
      </c>
      <c r="D36" s="21">
        <v>2.5000000000000001E-2</v>
      </c>
      <c r="E36" s="34">
        <f t="shared" si="7"/>
        <v>40</v>
      </c>
      <c r="F36" s="21"/>
      <c r="G36" s="21"/>
      <c r="H36" s="35">
        <f t="shared" si="8"/>
        <v>14.4</v>
      </c>
    </row>
    <row r="37" spans="1:11">
      <c r="A37" s="20" t="s">
        <v>57</v>
      </c>
      <c r="B37" s="21" t="s">
        <v>26</v>
      </c>
      <c r="C37" s="21">
        <v>2.5</v>
      </c>
      <c r="D37" s="21">
        <v>2</v>
      </c>
      <c r="E37" s="34">
        <f t="shared" si="7"/>
        <v>1.25</v>
      </c>
      <c r="F37" s="21"/>
      <c r="G37" s="21"/>
      <c r="H37" s="35">
        <f t="shared" si="8"/>
        <v>0.45</v>
      </c>
    </row>
    <row r="38" spans="1:11">
      <c r="A38" s="20" t="s">
        <v>58</v>
      </c>
      <c r="B38" s="21" t="s">
        <v>59</v>
      </c>
      <c r="C38" s="21">
        <v>30</v>
      </c>
      <c r="D38" s="21">
        <v>50</v>
      </c>
      <c r="E38" s="34">
        <f t="shared" si="7"/>
        <v>0.6</v>
      </c>
      <c r="F38" s="21">
        <v>30</v>
      </c>
      <c r="G38" s="21"/>
      <c r="H38" s="35">
        <f t="shared" si="8"/>
        <v>4.42</v>
      </c>
      <c r="J38" s="36">
        <f>ROUND(($N$6/(D38*C37))*C38,2)</f>
        <v>24</v>
      </c>
    </row>
    <row r="39" spans="1:11">
      <c r="A39" s="20" t="s">
        <v>60</v>
      </c>
      <c r="B39" s="21" t="s">
        <v>59</v>
      </c>
      <c r="C39" s="21">
        <v>7</v>
      </c>
      <c r="D39" s="21">
        <v>50</v>
      </c>
      <c r="E39" s="21">
        <f>ROUND(C39/D39,2)</f>
        <v>0.14000000000000001</v>
      </c>
      <c r="F39" s="21">
        <v>30</v>
      </c>
      <c r="G39" s="21"/>
      <c r="H39" s="22">
        <f>ROUND((F39*$F$3)+(E39*$F$4),2)</f>
        <v>4.25</v>
      </c>
      <c r="J39" s="36">
        <f>ROUND(($N$6/(D39*C51))*C39,2)</f>
        <v>28</v>
      </c>
    </row>
    <row r="40" spans="1:11" ht="16.2" thickBot="1">
      <c r="A40" s="39" t="s">
        <v>33</v>
      </c>
      <c r="B40" s="40" t="s">
        <v>34</v>
      </c>
      <c r="C40" s="40" t="s">
        <v>34</v>
      </c>
      <c r="D40" s="40"/>
      <c r="E40" s="40">
        <f t="shared" ref="E40:F40" si="10">SUM(E29:E39)</f>
        <v>48.31</v>
      </c>
      <c r="F40" s="40">
        <f t="shared" si="10"/>
        <v>147</v>
      </c>
      <c r="G40" s="40" t="s">
        <v>34</v>
      </c>
      <c r="H40" s="41">
        <f>SUM(H29:H39)</f>
        <v>37.979999999999997</v>
      </c>
      <c r="J40" s="2">
        <f>K40*25%</f>
        <v>121.875</v>
      </c>
      <c r="K40" s="2">
        <v>487.5</v>
      </c>
    </row>
    <row r="41" spans="1:11" ht="16.2" thickBot="1">
      <c r="A41" s="42" t="s">
        <v>61</v>
      </c>
      <c r="B41" s="43" t="s">
        <v>34</v>
      </c>
      <c r="C41" s="43" t="s">
        <v>34</v>
      </c>
      <c r="D41" s="43" t="s">
        <v>34</v>
      </c>
      <c r="E41" s="43">
        <f t="shared" ref="E41:F41" si="11">(SUM(E18,E27,E40))*10%</f>
        <v>5.8710000000000004</v>
      </c>
      <c r="F41" s="43">
        <f t="shared" si="11"/>
        <v>29.400000000000002</v>
      </c>
      <c r="G41" s="43" t="s">
        <v>34</v>
      </c>
      <c r="H41" s="44">
        <f>ROUND((F41*$F$3)+(E41*$F$4),2)</f>
        <v>6.23</v>
      </c>
      <c r="J41" s="2">
        <f>SUM(J29,J32:J39)</f>
        <v>674.22</v>
      </c>
    </row>
    <row r="42" spans="1:11" ht="17.399999999999999" thickBot="1">
      <c r="A42" s="45" t="s">
        <v>62</v>
      </c>
      <c r="B42" s="46"/>
      <c r="C42" s="46"/>
      <c r="D42" s="46"/>
      <c r="E42" s="46"/>
      <c r="F42" s="46"/>
      <c r="G42" s="46"/>
      <c r="H42" s="47">
        <f>SUM(H18,H27,H40)</f>
        <v>178.42112</v>
      </c>
    </row>
    <row r="43" spans="1:11" ht="16.2">
      <c r="A43" s="48"/>
      <c r="B43" s="49"/>
      <c r="C43" s="49"/>
      <c r="D43" s="49"/>
      <c r="E43" s="49"/>
      <c r="F43" s="49"/>
      <c r="G43" s="49"/>
      <c r="H43" s="50"/>
    </row>
    <row r="44" spans="1:11" ht="16.2">
      <c r="A44" s="20" t="s">
        <v>63</v>
      </c>
      <c r="B44" s="21"/>
      <c r="C44" s="21"/>
      <c r="D44" s="21"/>
      <c r="E44" s="21"/>
      <c r="F44" s="21"/>
      <c r="G44" s="21"/>
      <c r="H44" s="51">
        <v>54.68</v>
      </c>
    </row>
    <row r="45" spans="1:11" ht="16.8" thickBot="1">
      <c r="A45" s="52" t="s">
        <v>64</v>
      </c>
      <c r="B45" s="53"/>
      <c r="C45" s="53"/>
      <c r="D45" s="53"/>
      <c r="E45" s="53"/>
      <c r="F45" s="53"/>
      <c r="G45" s="53"/>
      <c r="H45" s="54">
        <v>17.86</v>
      </c>
    </row>
    <row r="46" spans="1:11" ht="17.399999999999999" thickBot="1">
      <c r="A46" s="45" t="s">
        <v>65</v>
      </c>
      <c r="B46" s="46"/>
      <c r="C46" s="46"/>
      <c r="D46" s="46"/>
      <c r="E46" s="46"/>
      <c r="F46" s="46"/>
      <c r="G46" s="46"/>
      <c r="H46" s="47">
        <f>SUM(H43:H45)</f>
        <v>72.539999999999992</v>
      </c>
    </row>
    <row r="47" spans="1:11" ht="16.8">
      <c r="A47" s="55" t="s">
        <v>66</v>
      </c>
      <c r="B47" s="56"/>
      <c r="C47" s="56"/>
      <c r="D47" s="56"/>
      <c r="E47" s="56"/>
      <c r="F47" s="56"/>
      <c r="G47" s="56"/>
      <c r="H47" s="57">
        <f>SUM(H42,H46)</f>
        <v>250.96111999999999</v>
      </c>
    </row>
    <row r="48" spans="1:11" ht="16.2" thickBot="1">
      <c r="A48" s="58"/>
      <c r="B48" s="59"/>
      <c r="C48" s="59"/>
      <c r="D48" s="59"/>
      <c r="E48" s="59"/>
      <c r="F48" s="59"/>
      <c r="G48" s="59"/>
      <c r="H48" s="60"/>
    </row>
    <row r="49" spans="1:8" ht="16.8" thickTop="1" thickBot="1">
      <c r="A49" s="61" t="s">
        <v>67</v>
      </c>
      <c r="B49" s="62"/>
      <c r="C49" s="62"/>
      <c r="D49" s="62"/>
      <c r="E49" s="62"/>
      <c r="F49" s="62"/>
      <c r="G49" s="62"/>
      <c r="H49" s="63"/>
    </row>
    <row r="50" spans="1:8" ht="16.2" thickBot="1">
      <c r="A50" s="64" t="s">
        <v>68</v>
      </c>
      <c r="B50" s="65" t="s">
        <v>26</v>
      </c>
      <c r="C50" s="65">
        <v>2.5</v>
      </c>
      <c r="D50" s="65"/>
      <c r="E50" s="65"/>
      <c r="F50" s="65"/>
      <c r="G50" s="65">
        <v>20</v>
      </c>
      <c r="H50" s="66">
        <f>G50*C50</f>
        <v>50</v>
      </c>
    </row>
    <row r="51" spans="1:8" ht="16.2" thickBot="1">
      <c r="A51" s="64" t="s">
        <v>69</v>
      </c>
      <c r="B51" s="65" t="s">
        <v>26</v>
      </c>
      <c r="C51" s="65">
        <v>0.5</v>
      </c>
      <c r="D51" s="65"/>
      <c r="E51" s="65"/>
      <c r="F51" s="65"/>
      <c r="G51" s="65">
        <v>180</v>
      </c>
      <c r="H51" s="66">
        <f>C51*G51</f>
        <v>90</v>
      </c>
    </row>
    <row r="52" spans="1:8" ht="16.8" thickBot="1">
      <c r="A52" s="67" t="s">
        <v>33</v>
      </c>
      <c r="B52" s="68"/>
      <c r="C52" s="68"/>
      <c r="D52" s="68"/>
      <c r="E52" s="68"/>
      <c r="F52" s="68"/>
      <c r="G52" s="68"/>
      <c r="H52" s="69">
        <f>SUM(H50:H51)</f>
        <v>140</v>
      </c>
    </row>
    <row r="53" spans="1:8" ht="16.2" thickBot="1">
      <c r="A53" s="64" t="s">
        <v>70</v>
      </c>
      <c r="B53" s="65" t="s">
        <v>71</v>
      </c>
      <c r="C53" s="65"/>
      <c r="D53" s="65"/>
      <c r="E53" s="65"/>
      <c r="F53" s="65"/>
      <c r="G53" s="65">
        <v>90</v>
      </c>
      <c r="H53" s="66">
        <f>C50*G53</f>
        <v>225</v>
      </c>
    </row>
    <row r="54" spans="1:8" ht="17.399999999999999" thickBot="1">
      <c r="A54" s="45" t="s">
        <v>33</v>
      </c>
      <c r="B54" s="70"/>
      <c r="C54" s="70"/>
      <c r="D54" s="70"/>
      <c r="E54" s="70"/>
      <c r="F54" s="70"/>
      <c r="G54" s="70"/>
      <c r="H54" s="71">
        <f>H50+H51+H53</f>
        <v>365</v>
      </c>
    </row>
    <row r="55" spans="1:8" ht="16.2" thickBot="1">
      <c r="A55" s="72"/>
      <c r="B55" s="73"/>
      <c r="C55" s="73"/>
      <c r="D55" s="73"/>
      <c r="E55" s="73"/>
      <c r="F55" s="73"/>
      <c r="G55" s="73"/>
      <c r="H55" s="74"/>
    </row>
    <row r="56" spans="1:8" ht="16.8" thickTop="1" thickBot="1">
      <c r="A56" s="75" t="s">
        <v>72</v>
      </c>
      <c r="B56" s="76"/>
      <c r="C56" s="76"/>
      <c r="D56" s="76"/>
      <c r="E56" s="76"/>
      <c r="F56" s="76"/>
      <c r="G56" s="76"/>
      <c r="H56" s="77">
        <f>ROUND(H52-H47,2)</f>
        <v>-110.96</v>
      </c>
    </row>
    <row r="57" spans="1:8" ht="16.2" thickBot="1">
      <c r="A57" s="78" t="s">
        <v>73</v>
      </c>
      <c r="B57" s="79"/>
      <c r="C57" s="79"/>
      <c r="D57" s="79"/>
      <c r="E57" s="79"/>
      <c r="F57" s="79"/>
      <c r="G57" s="79"/>
      <c r="H57" s="80">
        <f>ROUND(H56/H47%,2)</f>
        <v>-44.21</v>
      </c>
    </row>
    <row r="58" spans="1:8" ht="16.2" thickBot="1">
      <c r="A58" s="81" t="s">
        <v>74</v>
      </c>
      <c r="B58" s="82"/>
      <c r="C58" s="82"/>
      <c r="D58" s="82"/>
      <c r="E58" s="82"/>
      <c r="F58" s="82"/>
      <c r="G58" s="82"/>
      <c r="H58" s="83">
        <f>ROUND(H54-H47,2)</f>
        <v>114.04</v>
      </c>
    </row>
    <row r="59" spans="1:8" ht="31.8" thickBot="1">
      <c r="A59" s="84" t="s">
        <v>75</v>
      </c>
      <c r="B59" s="85"/>
      <c r="C59" s="85"/>
      <c r="D59" s="85"/>
      <c r="E59" s="85"/>
      <c r="F59" s="85"/>
      <c r="G59" s="85"/>
      <c r="H59" s="86">
        <f>ROUND(H58/H47%,2)</f>
        <v>45.44</v>
      </c>
    </row>
    <row r="60" spans="1:8" ht="16.2" thickTop="1"/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zoomScale="75" workbookViewId="0"/>
  </sheetViews>
  <sheetFormatPr defaultRowHeight="15.6"/>
  <cols>
    <col min="1" max="1" width="21.33203125" style="2" customWidth="1"/>
    <col min="2" max="3" width="12.6640625" style="2" customWidth="1"/>
    <col min="4" max="5" width="13.6640625" style="2" customWidth="1"/>
    <col min="6" max="6" width="14" style="2" customWidth="1"/>
    <col min="7" max="7" width="14.5546875" style="2" customWidth="1"/>
    <col min="8" max="45" width="8.88671875" style="2"/>
  </cols>
  <sheetData>
    <row r="1" spans="1:11" ht="16.2" thickBot="1"/>
    <row r="2" spans="1:11" ht="63" thickTop="1">
      <c r="A2" s="87" t="s">
        <v>76</v>
      </c>
      <c r="B2" s="88" t="s">
        <v>77</v>
      </c>
      <c r="C2" s="89" t="s">
        <v>63</v>
      </c>
      <c r="D2" s="89"/>
      <c r="E2" s="88" t="s">
        <v>78</v>
      </c>
      <c r="F2" s="88" t="s">
        <v>79</v>
      </c>
      <c r="G2" s="90" t="s">
        <v>80</v>
      </c>
      <c r="H2" s="16"/>
      <c r="I2" s="16"/>
      <c r="J2" s="16"/>
      <c r="K2" s="16"/>
    </row>
    <row r="3" spans="1:11" ht="16.2" thickBot="1">
      <c r="A3" s="91"/>
      <c r="B3" s="92"/>
      <c r="C3" s="93" t="s">
        <v>81</v>
      </c>
      <c r="D3" s="93" t="s">
        <v>82</v>
      </c>
      <c r="E3" s="92"/>
      <c r="F3" s="92"/>
      <c r="G3" s="94"/>
      <c r="H3" s="16"/>
      <c r="I3" s="16"/>
      <c r="J3" s="16"/>
      <c r="K3" s="16"/>
    </row>
    <row r="4" spans="1:11">
      <c r="A4" s="95" t="s">
        <v>83</v>
      </c>
      <c r="B4" s="96"/>
      <c r="C4" s="96"/>
      <c r="D4" s="96"/>
      <c r="E4" s="97"/>
      <c r="F4" s="96"/>
      <c r="G4" s="98"/>
    </row>
    <row r="5" spans="1:11">
      <c r="A5" s="99" t="s">
        <v>46</v>
      </c>
      <c r="B5" s="21">
        <v>5200</v>
      </c>
      <c r="C5" s="21">
        <v>14</v>
      </c>
      <c r="D5" s="21">
        <f>ROUND(B5*C5%,2)</f>
        <v>728</v>
      </c>
      <c r="E5" s="100">
        <f>ROUND(D5/F5,3)</f>
        <v>0.371</v>
      </c>
      <c r="F5" s="21">
        <f>'[1]Saimniecības budžets'!$L$28</f>
        <v>1962.32</v>
      </c>
      <c r="G5" s="22">
        <f>B5-D5</f>
        <v>4472</v>
      </c>
    </row>
    <row r="6" spans="1:11">
      <c r="A6" s="99" t="s">
        <v>50</v>
      </c>
      <c r="B6" s="21">
        <v>3800</v>
      </c>
      <c r="C6" s="21">
        <v>14</v>
      </c>
      <c r="D6" s="21">
        <f t="shared" ref="D6:D20" si="0">ROUND(B6*C6%,2)</f>
        <v>532</v>
      </c>
      <c r="E6" s="100">
        <f t="shared" ref="E6:E20" si="1">ROUND(D6/F6,3)</f>
        <v>1.121</v>
      </c>
      <c r="F6" s="21">
        <f>'[1]Saimniecības budžets'!$L$30</f>
        <v>474.55500000000001</v>
      </c>
      <c r="G6" s="22">
        <f t="shared" ref="G6:G20" si="2">B6-D6</f>
        <v>3268</v>
      </c>
    </row>
    <row r="7" spans="1:11">
      <c r="A7" s="99" t="s">
        <v>48</v>
      </c>
      <c r="B7" s="21">
        <v>4000</v>
      </c>
      <c r="C7" s="21">
        <v>14</v>
      </c>
      <c r="D7" s="21">
        <f t="shared" si="0"/>
        <v>560</v>
      </c>
      <c r="E7" s="100">
        <f t="shared" si="1"/>
        <v>1.0620000000000001</v>
      </c>
      <c r="F7" s="21">
        <f>'[1]Saimniecības budžets'!$L$29</f>
        <v>527.53750000000002</v>
      </c>
      <c r="G7" s="22">
        <f t="shared" si="2"/>
        <v>3440</v>
      </c>
    </row>
    <row r="8" spans="1:11">
      <c r="A8" s="99" t="s">
        <v>84</v>
      </c>
      <c r="B8" s="21">
        <v>18000</v>
      </c>
      <c r="C8" s="21">
        <v>14</v>
      </c>
      <c r="D8" s="21">
        <f t="shared" si="0"/>
        <v>2520</v>
      </c>
      <c r="E8" s="100">
        <f t="shared" si="1"/>
        <v>3.36</v>
      </c>
      <c r="F8" s="21">
        <f>'[1]Saimniecības budžets'!$J$31</f>
        <v>750</v>
      </c>
      <c r="G8" s="22">
        <f t="shared" si="2"/>
        <v>15480</v>
      </c>
    </row>
    <row r="9" spans="1:11">
      <c r="A9" s="20" t="s">
        <v>85</v>
      </c>
      <c r="B9" s="21"/>
      <c r="C9" s="21"/>
      <c r="D9" s="21"/>
      <c r="E9" s="100"/>
      <c r="F9" s="21"/>
      <c r="G9" s="22"/>
    </row>
    <row r="10" spans="1:11">
      <c r="A10" s="99" t="s">
        <v>86</v>
      </c>
      <c r="B10" s="21">
        <v>325</v>
      </c>
      <c r="C10" s="21">
        <v>14</v>
      </c>
      <c r="D10" s="21">
        <f t="shared" si="0"/>
        <v>45.5</v>
      </c>
      <c r="E10" s="100">
        <f t="shared" si="1"/>
        <v>0.108</v>
      </c>
      <c r="F10" s="21">
        <f>SUM('[1]Saimniecības budžets'!J8)</f>
        <v>420</v>
      </c>
      <c r="G10" s="22">
        <f t="shared" si="2"/>
        <v>279.5</v>
      </c>
    </row>
    <row r="11" spans="1:11">
      <c r="A11" s="99" t="s">
        <v>87</v>
      </c>
      <c r="B11" s="21">
        <v>280</v>
      </c>
      <c r="C11" s="21">
        <v>14</v>
      </c>
      <c r="D11" s="21">
        <f t="shared" si="0"/>
        <v>39.200000000000003</v>
      </c>
      <c r="E11" s="100">
        <f t="shared" ref="E11:E12" si="3">ROUND(D11/F12,3)</f>
        <v>0.129</v>
      </c>
      <c r="F11" s="21">
        <f>'[1]Saimniecības budžets'!J9</f>
        <v>58.33</v>
      </c>
      <c r="G11" s="22">
        <f t="shared" si="2"/>
        <v>240.8</v>
      </c>
    </row>
    <row r="12" spans="1:11">
      <c r="A12" s="99" t="s">
        <v>88</v>
      </c>
      <c r="B12" s="21">
        <v>300</v>
      </c>
      <c r="C12" s="21">
        <v>14</v>
      </c>
      <c r="D12" s="21">
        <f t="shared" si="0"/>
        <v>42</v>
      </c>
      <c r="E12" s="100">
        <f t="shared" si="3"/>
        <v>0.20399999999999999</v>
      </c>
      <c r="F12" s="21">
        <f>SUM('[1]Saimniecības budžets'!J10)</f>
        <v>304.35000000000002</v>
      </c>
      <c r="G12" s="22">
        <f t="shared" si="2"/>
        <v>258</v>
      </c>
    </row>
    <row r="13" spans="1:11">
      <c r="A13" s="99" t="s">
        <v>89</v>
      </c>
      <c r="B13" s="21">
        <v>325</v>
      </c>
      <c r="C13" s="21">
        <v>14</v>
      </c>
      <c r="D13" s="21">
        <f t="shared" si="0"/>
        <v>45.5</v>
      </c>
      <c r="E13" s="100">
        <f t="shared" si="1"/>
        <v>0.221</v>
      </c>
      <c r="F13" s="101">
        <f>'[1]Saimniecības budžets'!J11/3</f>
        <v>205.88333333333333</v>
      </c>
      <c r="G13" s="22">
        <f t="shared" si="2"/>
        <v>279.5</v>
      </c>
    </row>
    <row r="14" spans="1:11">
      <c r="A14" s="99" t="s">
        <v>90</v>
      </c>
      <c r="B14" s="21">
        <v>400</v>
      </c>
      <c r="C14" s="21">
        <v>14</v>
      </c>
      <c r="D14" s="21">
        <f t="shared" si="0"/>
        <v>56</v>
      </c>
      <c r="E14" s="100">
        <f t="shared" si="1"/>
        <v>0.13600000000000001</v>
      </c>
      <c r="F14" s="101">
        <f>'[1]Saimniecības budžets'!J11-[1]Pamatlīdzekļi!F13</f>
        <v>411.76666666666665</v>
      </c>
      <c r="G14" s="22">
        <f t="shared" si="2"/>
        <v>344</v>
      </c>
    </row>
    <row r="15" spans="1:11">
      <c r="A15" s="99" t="s">
        <v>91</v>
      </c>
      <c r="B15" s="21">
        <v>425</v>
      </c>
      <c r="C15" s="21">
        <v>14</v>
      </c>
      <c r="D15" s="21">
        <f t="shared" si="0"/>
        <v>59.5</v>
      </c>
      <c r="E15" s="100">
        <f t="shared" si="1"/>
        <v>3.1320000000000001</v>
      </c>
      <c r="F15" s="21">
        <f>'[1]Saimniecības budžets'!J15</f>
        <v>19</v>
      </c>
      <c r="G15" s="22">
        <f t="shared" si="2"/>
        <v>365.5</v>
      </c>
    </row>
    <row r="16" spans="1:11">
      <c r="A16" s="99" t="s">
        <v>92</v>
      </c>
      <c r="B16" s="21">
        <v>700</v>
      </c>
      <c r="C16" s="21">
        <v>14</v>
      </c>
      <c r="D16" s="21">
        <f t="shared" si="0"/>
        <v>98</v>
      </c>
      <c r="E16" s="100">
        <f t="shared" si="1"/>
        <v>0.33600000000000002</v>
      </c>
      <c r="F16" s="21">
        <f>'[1]Saimniecības budžets'!J24</f>
        <v>291.67</v>
      </c>
      <c r="G16" s="22">
        <f t="shared" si="2"/>
        <v>602</v>
      </c>
    </row>
    <row r="17" spans="1:7">
      <c r="A17" s="99" t="s">
        <v>93</v>
      </c>
      <c r="B17" s="21">
        <v>2350</v>
      </c>
      <c r="C17" s="21">
        <v>14</v>
      </c>
      <c r="D17" s="21">
        <f t="shared" si="0"/>
        <v>329</v>
      </c>
      <c r="E17" s="100">
        <f t="shared" si="1"/>
        <v>1.4810000000000001</v>
      </c>
      <c r="F17" s="21">
        <f>'[1]Saimniecības budžets'!$J$29</f>
        <v>222.22</v>
      </c>
      <c r="G17" s="22">
        <f t="shared" si="2"/>
        <v>2021</v>
      </c>
    </row>
    <row r="18" spans="1:7">
      <c r="A18" s="99" t="s">
        <v>94</v>
      </c>
      <c r="B18" s="21">
        <v>1800</v>
      </c>
      <c r="C18" s="21">
        <v>14</v>
      </c>
      <c r="D18" s="21">
        <f t="shared" si="0"/>
        <v>252</v>
      </c>
      <c r="E18" s="100">
        <f t="shared" si="1"/>
        <v>1.9379999999999999</v>
      </c>
      <c r="F18" s="21">
        <f>'[1]Saimniecības budžets'!J35*1.3</f>
        <v>130</v>
      </c>
      <c r="G18" s="22">
        <f t="shared" si="2"/>
        <v>1548</v>
      </c>
    </row>
    <row r="19" spans="1:7">
      <c r="A19" s="99" t="s">
        <v>95</v>
      </c>
      <c r="B19" s="21">
        <v>90</v>
      </c>
      <c r="C19" s="21">
        <v>14</v>
      </c>
      <c r="D19" s="21">
        <f t="shared" si="0"/>
        <v>12.6</v>
      </c>
      <c r="E19" s="100">
        <f t="shared" si="1"/>
        <v>0.113</v>
      </c>
      <c r="F19" s="21">
        <f>'[1]Saimniecības budžets'!J23</f>
        <v>111.36</v>
      </c>
      <c r="G19" s="22">
        <f t="shared" si="2"/>
        <v>77.400000000000006</v>
      </c>
    </row>
    <row r="20" spans="1:7">
      <c r="A20" s="99" t="s">
        <v>96</v>
      </c>
      <c r="B20" s="21">
        <v>1750</v>
      </c>
      <c r="C20" s="21">
        <v>14</v>
      </c>
      <c r="D20" s="21">
        <f t="shared" si="0"/>
        <v>245</v>
      </c>
      <c r="E20" s="100">
        <f t="shared" si="1"/>
        <v>2.5350000000000001</v>
      </c>
      <c r="F20" s="21">
        <f>('[1]Saimniecības budžets'!J13+'[1]Saimniecības budžets'!J38+'[1]Saimniecības budžets'!J39)*2</f>
        <v>96.66</v>
      </c>
      <c r="G20" s="22">
        <f t="shared" si="2"/>
        <v>1505</v>
      </c>
    </row>
    <row r="21" spans="1:7" ht="16.8" thickBot="1">
      <c r="A21" s="102" t="s">
        <v>33</v>
      </c>
      <c r="B21" s="103">
        <f>SUM(B5:B20)</f>
        <v>39745</v>
      </c>
      <c r="C21" s="103" t="s">
        <v>34</v>
      </c>
      <c r="D21" s="103">
        <f>SUM(D5:D20)</f>
        <v>5564.3</v>
      </c>
      <c r="E21" s="103" t="s">
        <v>34</v>
      </c>
      <c r="F21" s="103">
        <f t="shared" ref="F21:G21" si="4">SUM(F5:F20)</f>
        <v>5985.6525000000001</v>
      </c>
      <c r="G21" s="104">
        <f t="shared" si="4"/>
        <v>34180.699999999997</v>
      </c>
    </row>
    <row r="22" spans="1:7" ht="16.2" thickTop="1">
      <c r="A22" s="105"/>
    </row>
    <row r="23" spans="1:7" ht="16.2" thickBot="1">
      <c r="A23" s="106" t="s">
        <v>97</v>
      </c>
      <c r="B23" s="106"/>
    </row>
    <row r="24" spans="1:7" ht="16.2" thickTop="1">
      <c r="A24" s="107" t="s">
        <v>98</v>
      </c>
      <c r="B24" s="108">
        <f>E5*'[1]Saimniecības budžets'!E8+[1]Pamatlīdzekļi!E10*'[1]Saimniecības budžets'!E8</f>
        <v>0.19159999999999999</v>
      </c>
    </row>
    <row r="25" spans="1:7">
      <c r="A25" s="109" t="s">
        <v>99</v>
      </c>
      <c r="B25" s="22">
        <f>(E5+E11)*'[1]Saimniecības budžets'!E9</f>
        <v>0.16500000000000001</v>
      </c>
    </row>
    <row r="26" spans="1:7">
      <c r="A26" s="109" t="s">
        <v>100</v>
      </c>
      <c r="B26" s="22">
        <f>(E6+E12)*'[1]Saimniecības budžets'!E10</f>
        <v>1.1527499999999999</v>
      </c>
    </row>
    <row r="27" spans="1:7">
      <c r="A27" s="109" t="s">
        <v>101</v>
      </c>
      <c r="B27" s="22">
        <f>(E6+E14)*'[1]Saimniecības budžets'!E11</f>
        <v>2.2123200000000001</v>
      </c>
    </row>
    <row r="28" spans="1:7">
      <c r="A28" s="109" t="s">
        <v>102</v>
      </c>
      <c r="B28" s="22">
        <f>(E7+E15)*'[1]Saimniecības budžets'!E15</f>
        <v>0.16775999999999999</v>
      </c>
    </row>
    <row r="29" spans="1:7">
      <c r="A29" s="109" t="s">
        <v>103</v>
      </c>
      <c r="B29" s="22">
        <f>(E5+E20)*'[1]Saimniecības budžets'!E16</f>
        <v>11.972720000000001</v>
      </c>
    </row>
    <row r="30" spans="1:7">
      <c r="A30" s="109" t="s">
        <v>104</v>
      </c>
      <c r="B30" s="22">
        <f>(E5+E13)*'[1]Saimniecības budžets'!E17</f>
        <v>0.34927999999999998</v>
      </c>
    </row>
    <row r="31" spans="1:7">
      <c r="A31" s="109" t="s">
        <v>105</v>
      </c>
      <c r="B31" s="22">
        <f>(E7+E19)*'[1]Saimniecības budžets'!E23</f>
        <v>0.52875000000000005</v>
      </c>
    </row>
    <row r="32" spans="1:7">
      <c r="A32" s="109" t="s">
        <v>106</v>
      </c>
      <c r="B32" s="22">
        <f>(E7+E16)*'[1]Saimniecības budžets'!E24</f>
        <v>1.1603400000000001</v>
      </c>
    </row>
    <row r="33" spans="1:2">
      <c r="A33" s="109" t="s">
        <v>42</v>
      </c>
      <c r="B33" s="22">
        <f>(E5+E10)*'[1]Saimniecības budžets'!E25</f>
        <v>0.38319999999999999</v>
      </c>
    </row>
    <row r="34" spans="1:2">
      <c r="A34" s="109" t="s">
        <v>107</v>
      </c>
      <c r="B34" s="22">
        <f>(E5+E17)*'[1]Saimniecības budžets'!E29</f>
        <v>1.6482800000000002</v>
      </c>
    </row>
    <row r="35" spans="1:2">
      <c r="A35" s="109" t="s">
        <v>108</v>
      </c>
      <c r="B35" s="22">
        <f>E5*2</f>
        <v>0.74199999999999999</v>
      </c>
    </row>
    <row r="36" spans="1:2">
      <c r="A36" s="109" t="s">
        <v>109</v>
      </c>
      <c r="B36" s="22">
        <f>(E5+E18)*'[1]Saimniecības budžets'!E35</f>
        <v>2.3090000000000002</v>
      </c>
    </row>
    <row r="37" spans="1:2">
      <c r="A37" s="109" t="s">
        <v>110</v>
      </c>
      <c r="B37" s="22">
        <f>(E6+E20)*('[1]Saimniecības budžets'!E38+'[1]Saimniecības budžets'!E39)</f>
        <v>2.7054400000000003</v>
      </c>
    </row>
    <row r="38" spans="1:2" ht="16.8" thickBot="1">
      <c r="A38" s="110" t="s">
        <v>111</v>
      </c>
      <c r="B38" s="111">
        <f>SUM(B24:B37)</f>
        <v>25.68844</v>
      </c>
    </row>
    <row r="39" spans="1:2" ht="16.2" thickTop="1"/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2"/>
  <cols>
    <col min="1" max="1" width="21.5546875" customWidth="1"/>
  </cols>
  <sheetData>
    <row r="1" spans="1:2">
      <c r="A1" s="120" t="s">
        <v>112</v>
      </c>
      <c r="B1" s="120">
        <v>2.5</v>
      </c>
    </row>
    <row r="2" spans="1:2">
      <c r="A2" s="120"/>
      <c r="B2" s="113"/>
    </row>
    <row r="3" spans="1:2">
      <c r="A3" s="121"/>
      <c r="B3" s="121" t="s">
        <v>82</v>
      </c>
    </row>
    <row r="4" spans="1:2">
      <c r="A4" s="114" t="s">
        <v>113</v>
      </c>
      <c r="B4" s="112"/>
    </row>
    <row r="5" spans="1:2">
      <c r="A5" s="114" t="s">
        <v>68</v>
      </c>
      <c r="B5" s="112">
        <f>'peļņas-zaudējuma aprēķins'!H50</f>
        <v>50</v>
      </c>
    </row>
    <row r="6" spans="1:2">
      <c r="A6" s="114" t="s">
        <v>69</v>
      </c>
      <c r="B6" s="112">
        <f>'peļņas-zaudējuma aprēķins'!H51</f>
        <v>90</v>
      </c>
    </row>
    <row r="7" spans="1:2">
      <c r="A7" s="115" t="s">
        <v>33</v>
      </c>
      <c r="B7" s="115">
        <f>SUM(B5:B6)</f>
        <v>140</v>
      </c>
    </row>
    <row r="8" spans="1:2">
      <c r="A8" s="116" t="s">
        <v>114</v>
      </c>
      <c r="B8" s="112"/>
    </row>
    <row r="9" spans="1:2">
      <c r="A9" s="116" t="s">
        <v>115</v>
      </c>
      <c r="B9" s="112">
        <f>'peļņas-zaudējuma aprēķins'!H20+'peļņas-zaudējuma aprēķins'!H21+'peļņas-zaudējuma aprēķins'!H22</f>
        <v>24.340000000000003</v>
      </c>
    </row>
    <row r="10" spans="1:2">
      <c r="A10" s="116" t="s">
        <v>116</v>
      </c>
      <c r="B10" s="122">
        <f>'peļņas-zaudējuma aprēķins'!H12+'peļņas-zaudējuma aprēķins'!H13</f>
        <v>30.501519999999999</v>
      </c>
    </row>
    <row r="11" spans="1:2">
      <c r="A11" s="116" t="s">
        <v>117</v>
      </c>
      <c r="B11" s="112">
        <f>'peļņas-zaudējuma aprēķins'!H7+'peļņas-zaudējuma aprēķins'!H26</f>
        <v>65</v>
      </c>
    </row>
    <row r="12" spans="1:2">
      <c r="A12" s="116" t="s">
        <v>118</v>
      </c>
      <c r="B12" s="122">
        <f>'peļņas-zaudējuma aprēķins'!H8+'peļņas-zaudējuma aprēķins'!H9+'peļņas-zaudējuma aprēķins'!H10+'peļņas-zaudējuma aprēķins'!H15+'peļņas-zaudējuma aprēķins'!H11+'peļņas-zaudējuma aprēķins'!H16+'peļņas-zaudējuma aprēķins'!H17+'peļņas-zaudējuma aprēķins'!H23+'peļņas-zaudējuma aprēķins'!H24+'peļņas-zaudējuma aprēķins'!H25+'peļņas-zaudējuma aprēķins'!H30+'peļņas-zaudējuma aprēķins'!H31+'peļņas-zaudējuma aprēķins'!H32+'peļņas-zaudējuma aprēķins'!H33+'peļņas-zaudējuma aprēķins'!H34+'peļņas-zaudējuma aprēķins'!H35+'peļņas-zaudējuma aprēķins'!H36+'peļņas-zaudējuma aprēķins'!H37</f>
        <v>46.169600000000003</v>
      </c>
    </row>
    <row r="13" spans="1:2">
      <c r="A13" s="116" t="s">
        <v>119</v>
      </c>
      <c r="B13" s="112"/>
    </row>
    <row r="14" spans="1:2">
      <c r="A14" s="116" t="s">
        <v>120</v>
      </c>
      <c r="B14" s="112">
        <f>ROUND(SUM(B9:B12)*5%,2)</f>
        <v>8.3000000000000007</v>
      </c>
    </row>
    <row r="15" spans="1:2">
      <c r="A15" s="117" t="s">
        <v>33</v>
      </c>
      <c r="B15" s="117">
        <f>ROUND(SUM(B9:B14),2)</f>
        <v>174.31</v>
      </c>
    </row>
    <row r="16" spans="1:2">
      <c r="A16" s="118" t="s">
        <v>121</v>
      </c>
      <c r="B16" s="112"/>
    </row>
    <row r="17" spans="1:2">
      <c r="A17" s="118" t="s">
        <v>122</v>
      </c>
      <c r="B17" s="112">
        <v>6.2</v>
      </c>
    </row>
    <row r="18" spans="1:2">
      <c r="A18" s="118" t="s">
        <v>123</v>
      </c>
      <c r="B18" s="112">
        <v>25</v>
      </c>
    </row>
    <row r="19" spans="1:2">
      <c r="A19" s="118" t="s">
        <v>63</v>
      </c>
      <c r="B19" s="122">
        <v>22</v>
      </c>
    </row>
    <row r="20" spans="1:2">
      <c r="A20" s="118" t="s">
        <v>124</v>
      </c>
      <c r="B20" s="112">
        <f>ROUND(SUM(B17:B19)*5%,2)</f>
        <v>2.66</v>
      </c>
    </row>
    <row r="21" spans="1:2">
      <c r="A21" s="123" t="s">
        <v>33</v>
      </c>
      <c r="B21" s="123">
        <f>SUM(B17:B20)</f>
        <v>55.86</v>
      </c>
    </row>
    <row r="22" spans="1:2">
      <c r="A22" s="119" t="s">
        <v>125</v>
      </c>
      <c r="B22" s="119">
        <f>B15+B21</f>
        <v>230.17000000000002</v>
      </c>
    </row>
    <row r="23" spans="1:2">
      <c r="A23" s="112"/>
      <c r="B23" s="112"/>
    </row>
    <row r="24" spans="1:2">
      <c r="A24" s="126" t="s">
        <v>72</v>
      </c>
      <c r="B24" s="126">
        <f>B7-B22</f>
        <v>-90.170000000000016</v>
      </c>
    </row>
    <row r="25" spans="1:2">
      <c r="A25" s="112"/>
      <c r="B25" s="112"/>
    </row>
    <row r="26" spans="1:2">
      <c r="A26" s="128" t="s">
        <v>126</v>
      </c>
      <c r="B26" s="128">
        <f>B1*88.6</f>
        <v>221.5</v>
      </c>
    </row>
    <row r="27" spans="1:2">
      <c r="A27" s="127" t="s">
        <v>127</v>
      </c>
      <c r="B27" s="127">
        <f>ROUND(B24+B26,2)</f>
        <v>131.33000000000001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/>
  </sheetViews>
  <sheetFormatPr defaultRowHeight="13.2"/>
  <cols>
    <col min="1" max="1" width="21.5546875" customWidth="1"/>
  </cols>
  <sheetData>
    <row r="1" spans="1:7">
      <c r="A1" s="112" t="s">
        <v>128</v>
      </c>
      <c r="B1" s="112">
        <v>2.5</v>
      </c>
      <c r="C1" s="112">
        <v>3</v>
      </c>
      <c r="D1" s="131">
        <v>4</v>
      </c>
      <c r="E1" s="131">
        <v>4</v>
      </c>
      <c r="F1" s="112">
        <v>6</v>
      </c>
      <c r="G1" s="112">
        <v>6</v>
      </c>
    </row>
    <row r="2" spans="1:7">
      <c r="A2" s="124"/>
      <c r="B2" s="124"/>
      <c r="C2" s="124"/>
      <c r="D2" s="125"/>
      <c r="E2" s="125"/>
      <c r="F2" s="124"/>
      <c r="G2" s="124"/>
    </row>
    <row r="3" spans="1:7">
      <c r="A3" s="124"/>
      <c r="B3" s="129"/>
      <c r="E3" s="130"/>
      <c r="F3" s="124"/>
      <c r="G3" s="124"/>
    </row>
    <row r="4" spans="1:7">
      <c r="A4" s="112" t="s">
        <v>113</v>
      </c>
      <c r="B4" s="112" t="s">
        <v>82</v>
      </c>
      <c r="C4" s="112" t="s">
        <v>82</v>
      </c>
      <c r="D4" s="112" t="s">
        <v>82</v>
      </c>
      <c r="E4" s="112" t="s">
        <v>82</v>
      </c>
      <c r="F4" s="112" t="s">
        <v>82</v>
      </c>
      <c r="G4" s="112" t="s">
        <v>82</v>
      </c>
    </row>
    <row r="5" spans="1:7">
      <c r="A5" s="112" t="s">
        <v>68</v>
      </c>
      <c r="B5" s="112">
        <v>50</v>
      </c>
      <c r="C5" s="112">
        <v>60</v>
      </c>
      <c r="D5" s="122">
        <v>80</v>
      </c>
      <c r="E5" s="122">
        <v>80</v>
      </c>
      <c r="F5" s="112">
        <v>120</v>
      </c>
      <c r="G5" s="112">
        <v>120</v>
      </c>
    </row>
    <row r="6" spans="1:7">
      <c r="A6" s="112" t="s">
        <v>69</v>
      </c>
      <c r="B6" s="122">
        <v>90</v>
      </c>
      <c r="C6" s="122">
        <v>126</v>
      </c>
      <c r="D6" s="122">
        <v>108</v>
      </c>
      <c r="E6" s="122">
        <v>108</v>
      </c>
      <c r="F6" s="112">
        <v>153</v>
      </c>
      <c r="G6" s="112">
        <v>153</v>
      </c>
    </row>
    <row r="7" spans="1:7">
      <c r="A7" s="112" t="s">
        <v>33</v>
      </c>
      <c r="B7" s="122">
        <v>140</v>
      </c>
      <c r="C7" s="122">
        <v>186</v>
      </c>
      <c r="D7" s="122">
        <v>188</v>
      </c>
      <c r="E7" s="122">
        <v>188</v>
      </c>
      <c r="F7" s="112">
        <v>273</v>
      </c>
      <c r="G7" s="112">
        <v>273</v>
      </c>
    </row>
    <row r="8" spans="1:7">
      <c r="A8" s="112" t="s">
        <v>114</v>
      </c>
      <c r="D8" s="122"/>
      <c r="E8" s="122"/>
      <c r="F8" s="112"/>
      <c r="G8" s="112"/>
    </row>
    <row r="9" spans="1:7">
      <c r="A9" s="112" t="s">
        <v>115</v>
      </c>
      <c r="B9" s="122">
        <v>24.34</v>
      </c>
      <c r="C9" s="122">
        <v>24.34</v>
      </c>
      <c r="D9" s="122">
        <v>29.54</v>
      </c>
      <c r="E9" s="122">
        <v>29.54</v>
      </c>
      <c r="F9" s="112">
        <v>33.44</v>
      </c>
      <c r="G9" s="112">
        <v>33.44</v>
      </c>
    </row>
    <row r="10" spans="1:7">
      <c r="A10" s="112" t="s">
        <v>116</v>
      </c>
      <c r="B10" s="122">
        <v>30.501519999999999</v>
      </c>
      <c r="C10" s="122">
        <v>39.216239999999999</v>
      </c>
      <c r="D10" s="122">
        <v>47.930959999999999</v>
      </c>
      <c r="E10" s="122">
        <v>47.930959999999999</v>
      </c>
      <c r="F10" s="122">
        <v>56.645680000000006</v>
      </c>
      <c r="G10" s="112">
        <v>56.645680000000006</v>
      </c>
    </row>
    <row r="11" spans="1:7">
      <c r="A11" s="112" t="s">
        <v>117</v>
      </c>
      <c r="B11" s="122">
        <v>65</v>
      </c>
      <c r="C11" s="122">
        <v>85</v>
      </c>
      <c r="D11" s="122">
        <v>85</v>
      </c>
      <c r="E11" s="122">
        <v>85</v>
      </c>
      <c r="F11" s="112">
        <v>85</v>
      </c>
      <c r="G11" s="112">
        <v>85</v>
      </c>
    </row>
    <row r="12" spans="1:7">
      <c r="A12" s="112" t="s">
        <v>120</v>
      </c>
      <c r="B12" s="122">
        <v>46.169600000000003</v>
      </c>
      <c r="C12" s="122">
        <v>39.479600000000005</v>
      </c>
      <c r="D12" s="122">
        <v>32.199600000000004</v>
      </c>
      <c r="E12" s="122">
        <v>32.199600000000004</v>
      </c>
      <c r="F12" s="112">
        <v>32.869599999999998</v>
      </c>
      <c r="G12" s="112">
        <v>32.869599999999998</v>
      </c>
    </row>
    <row r="13" spans="1:7">
      <c r="A13" s="112" t="s">
        <v>129</v>
      </c>
      <c r="B13" s="122">
        <v>8.3000000000000007</v>
      </c>
      <c r="C13" s="122">
        <v>9.4</v>
      </c>
      <c r="D13" s="122">
        <v>9.73</v>
      </c>
      <c r="E13" s="122">
        <v>9.73</v>
      </c>
      <c r="F13" s="112">
        <v>10.4</v>
      </c>
      <c r="G13" s="112">
        <v>10.4</v>
      </c>
    </row>
    <row r="14" spans="1:7">
      <c r="A14" s="112" t="s">
        <v>33</v>
      </c>
      <c r="B14" s="122">
        <v>174.31</v>
      </c>
      <c r="C14" s="122">
        <v>197.44</v>
      </c>
      <c r="D14" s="122">
        <v>204.4</v>
      </c>
      <c r="E14" s="122">
        <v>204.4</v>
      </c>
      <c r="F14" s="112">
        <v>218.36</v>
      </c>
      <c r="G14" s="112">
        <v>218.36</v>
      </c>
    </row>
    <row r="15" spans="1:7">
      <c r="A15" s="112" t="s">
        <v>121</v>
      </c>
      <c r="B15" s="112"/>
      <c r="C15" s="112"/>
      <c r="D15" s="112"/>
      <c r="E15" s="112"/>
      <c r="F15" s="112"/>
      <c r="G15" s="112"/>
    </row>
    <row r="16" spans="1:7">
      <c r="A16" s="112" t="s">
        <v>122</v>
      </c>
      <c r="B16" s="122">
        <v>6.2</v>
      </c>
      <c r="C16" s="122">
        <v>7.2</v>
      </c>
      <c r="D16" s="122">
        <v>7.2</v>
      </c>
      <c r="E16" s="122">
        <v>7.2</v>
      </c>
      <c r="F16" s="112">
        <v>6.9</v>
      </c>
      <c r="G16" s="112">
        <v>6.9</v>
      </c>
    </row>
    <row r="17" spans="1:7">
      <c r="A17" s="112" t="s">
        <v>123</v>
      </c>
      <c r="B17" s="122">
        <v>5</v>
      </c>
      <c r="C17" s="122">
        <v>5</v>
      </c>
      <c r="D17" s="122">
        <v>7</v>
      </c>
      <c r="E17" s="122">
        <v>5</v>
      </c>
      <c r="F17" s="112">
        <v>7</v>
      </c>
      <c r="G17" s="112">
        <v>7</v>
      </c>
    </row>
    <row r="18" spans="1:7">
      <c r="A18" s="112" t="s">
        <v>63</v>
      </c>
      <c r="B18" s="122">
        <v>22</v>
      </c>
      <c r="C18" s="122">
        <v>25.69</v>
      </c>
      <c r="D18" s="122">
        <v>50</v>
      </c>
      <c r="E18" s="122">
        <v>50</v>
      </c>
      <c r="F18" s="112">
        <v>54.68</v>
      </c>
      <c r="G18" s="112">
        <v>54.68</v>
      </c>
    </row>
    <row r="19" spans="1:7">
      <c r="A19" s="112" t="s">
        <v>124</v>
      </c>
      <c r="B19" s="122">
        <v>2.66</v>
      </c>
      <c r="C19" s="122">
        <v>2.89</v>
      </c>
      <c r="D19" s="122">
        <v>1.96</v>
      </c>
      <c r="E19" s="122">
        <v>1.86</v>
      </c>
      <c r="F19" s="112">
        <v>4.43</v>
      </c>
      <c r="G19" s="112">
        <v>4.43</v>
      </c>
    </row>
    <row r="20" spans="1:7">
      <c r="A20" s="112" t="s">
        <v>33</v>
      </c>
      <c r="B20" s="122">
        <v>55.86</v>
      </c>
      <c r="C20" s="122">
        <v>60.78</v>
      </c>
      <c r="D20" s="122">
        <v>41.16</v>
      </c>
      <c r="E20" s="122">
        <v>39.06</v>
      </c>
      <c r="F20" s="112">
        <v>93.01</v>
      </c>
      <c r="G20" s="112">
        <v>93.01</v>
      </c>
    </row>
    <row r="21" spans="1:7">
      <c r="A21" s="112" t="s">
        <v>125</v>
      </c>
      <c r="B21" s="122">
        <v>230.17</v>
      </c>
      <c r="C21" s="122">
        <v>258.22000000000003</v>
      </c>
      <c r="D21" s="122">
        <v>245.56</v>
      </c>
      <c r="E21" s="122">
        <v>243.46</v>
      </c>
      <c r="F21" s="112">
        <v>311.37</v>
      </c>
      <c r="G21" s="112">
        <v>311.37</v>
      </c>
    </row>
    <row r="22" spans="1:7">
      <c r="A22" s="112"/>
      <c r="B22" s="122"/>
      <c r="C22" s="122"/>
      <c r="D22" s="122"/>
      <c r="E22" s="112"/>
      <c r="F22" s="112"/>
      <c r="G22" s="112"/>
    </row>
    <row r="23" spans="1:7">
      <c r="A23" s="112" t="s">
        <v>72</v>
      </c>
      <c r="B23" s="122">
        <v>-90.17</v>
      </c>
      <c r="C23" s="112">
        <v>-72.22</v>
      </c>
      <c r="D23" s="122">
        <v>-57.56</v>
      </c>
      <c r="E23" s="112">
        <v>-55.46</v>
      </c>
      <c r="F23" s="112">
        <v>-38.369999999999997</v>
      </c>
      <c r="G23" s="112">
        <v>-38.369999999999997</v>
      </c>
    </row>
    <row r="24" spans="1:7">
      <c r="A24" s="112"/>
      <c r="B24" s="122"/>
      <c r="C24" s="112"/>
      <c r="D24" s="112"/>
      <c r="E24" s="112"/>
      <c r="F24" s="112"/>
      <c r="G24" s="112"/>
    </row>
    <row r="25" spans="1:7">
      <c r="A25" s="112" t="s">
        <v>126</v>
      </c>
      <c r="B25" s="112">
        <v>221.5</v>
      </c>
      <c r="C25" s="112">
        <v>270</v>
      </c>
      <c r="D25" s="112">
        <v>354.4</v>
      </c>
      <c r="E25" s="112">
        <v>240</v>
      </c>
      <c r="F25" s="112">
        <v>531.6</v>
      </c>
      <c r="G25" s="112">
        <v>360</v>
      </c>
    </row>
    <row r="26" spans="1:7">
      <c r="A26" s="112" t="s">
        <v>130</v>
      </c>
      <c r="B26" s="112">
        <v>131.33000000000001</v>
      </c>
      <c r="C26" s="112">
        <v>197.78</v>
      </c>
      <c r="D26" s="112">
        <v>296.83999999999997</v>
      </c>
      <c r="E26" s="112">
        <v>184.54</v>
      </c>
      <c r="F26" s="112">
        <v>493.23</v>
      </c>
      <c r="G26" s="112">
        <v>321.63</v>
      </c>
    </row>
  </sheetData>
  <pageMargins left="0.75" right="0.75" top="1" bottom="1" header="0.5" footer="0.5"/>
  <pageSetup orientation="portrait" horizontalDpi="4294967292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peļņas-zaudējuma aprēķins</vt:lpstr>
      <vt:lpstr>pamatlīdzekļi</vt:lpstr>
      <vt:lpstr>ražojošais budžets</vt:lpstr>
      <vt:lpstr>STĪVAIS</vt:lpstr>
    </vt:vector>
  </TitlesOfParts>
  <Company>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Students</dc:creator>
  <cp:lastModifiedBy>AMgl</cp:lastModifiedBy>
  <dcterms:created xsi:type="dcterms:W3CDTF">1998-05-12T18:58:41Z</dcterms:created>
  <dcterms:modified xsi:type="dcterms:W3CDTF">2024-03-15T21:02:01Z</dcterms:modified>
</cp:coreProperties>
</file>